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035" windowHeight="8445" tabRatio="940" activeTab="20"/>
  </bookViews>
  <sheets>
    <sheet name="Project Alternatives Summary" sheetId="5" r:id="rId1"/>
    <sheet name="Project Alternatives Summar (2)" sheetId="24" r:id="rId2"/>
    <sheet name="Alternative No. 0" sheetId="3" r:id="rId3"/>
    <sheet name="Alternative No. 1" sheetId="6" r:id="rId4"/>
    <sheet name="Alternative No. 2" sheetId="7" r:id="rId5"/>
    <sheet name="Alternative No. 3" sheetId="22" r:id="rId6"/>
    <sheet name="Alternative No. 4" sheetId="23" r:id="rId7"/>
    <sheet name="Job Creation-Sewer" sheetId="8" r:id="rId8"/>
    <sheet name="Job Creation-Lining" sheetId="9" r:id="rId9"/>
    <sheet name="Job Creation-Pump Station" sheetId="10" r:id="rId10"/>
    <sheet name="Job Creation-Treatment Plant" sheetId="11" r:id="rId11"/>
    <sheet name="Carbon-Total Emissions" sheetId="18" r:id="rId12"/>
    <sheet name="Carbon-Scope 1" sheetId="19" r:id="rId13"/>
    <sheet name="Carbon-Scope 2" sheetId="20" r:id="rId14"/>
    <sheet name="Carbon-GHG Background Assumed" sheetId="21" r:id="rId15"/>
    <sheet name="Job Creation Backup ==&gt;" sheetId="17" r:id="rId16"/>
    <sheet name="S weights" sheetId="12" r:id="rId17"/>
    <sheet name="S lining weights" sheetId="13" r:id="rId18"/>
    <sheet name="PS weights" sheetId="14" r:id="rId19"/>
    <sheet name="PL weights" sheetId="15" r:id="rId20"/>
    <sheet name="Allen Co. Labor Wages" sheetId="16" r:id="rId21"/>
  </sheets>
  <definedNames>
    <definedName name="DCflowchart" localSheetId="5">#REF!</definedName>
    <definedName name="DCflowchart" localSheetId="6">#REF!</definedName>
    <definedName name="DCflowchart" localSheetId="1">#REF!</definedName>
    <definedName name="DCflowchart">#REF!</definedName>
    <definedName name="_xlnm.Print_Area" localSheetId="2">'Alternative No. 0'!$A$1:$J$49</definedName>
    <definedName name="_xlnm.Print_Area" localSheetId="3">'Alternative No. 1'!$A$1:$J$49</definedName>
    <definedName name="_xlnm.Print_Area" localSheetId="4">'Alternative No. 2'!$A$1:$J$49</definedName>
    <definedName name="_xlnm.Print_Area" localSheetId="5">'Alternative No. 3'!$A$1:$I$49</definedName>
    <definedName name="_xlnm.Print_Area" localSheetId="6">'Alternative No. 4'!$A$1:$I$49</definedName>
    <definedName name="_xlnm.Print_Area" localSheetId="14">'Carbon-GHG Background Assumed'!$A$1:$F$55</definedName>
    <definedName name="_xlnm.Print_Area" localSheetId="12">'Carbon-Scope 1'!$B$2:$K$69</definedName>
    <definedName name="_xlnm.Print_Area" localSheetId="13">'Carbon-Scope 2'!$A$1:$I$73</definedName>
    <definedName name="_xlnm.Print_Area" localSheetId="11">'Carbon-Total Emissions'!$B$3:$E$20</definedName>
    <definedName name="_xlnm.Print_Area" localSheetId="1">'Project Alternatives Summar (2)'!$A$1:$F$51</definedName>
    <definedName name="_xlnm.Print_Area" localSheetId="0">'Project Alternatives Summary'!$A$1:$F$51</definedName>
    <definedName name="_xlnm.Print_Titles" localSheetId="2">'Alternative No. 0'!$1:$7</definedName>
    <definedName name="_xlnm.Print_Titles" localSheetId="3">'Alternative No. 1'!$1:$7</definedName>
    <definedName name="_xlnm.Print_Titles" localSheetId="4">'Alternative No. 2'!$1:$7</definedName>
    <definedName name="_xlnm.Print_Titles" localSheetId="5">'Alternative No. 3'!$1:$7</definedName>
    <definedName name="_xlnm.Print_Titles" localSheetId="6">'Alternative No. 4'!$1:$7</definedName>
  </definedNames>
  <calcPr calcId="144525"/>
</workbook>
</file>

<file path=xl/calcChain.xml><?xml version="1.0" encoding="utf-8"?>
<calcChain xmlns="http://schemas.openxmlformats.org/spreadsheetml/2006/main">
  <c r="I35" i="22" l="1"/>
  <c r="H35" i="22"/>
  <c r="I35" i="23"/>
  <c r="H35" i="23"/>
  <c r="G12" i="23"/>
  <c r="J35" i="7"/>
  <c r="I35" i="7"/>
  <c r="J35" i="6"/>
  <c r="I35" i="6"/>
  <c r="J35" i="3"/>
  <c r="I35" i="3"/>
  <c r="B8" i="5"/>
  <c r="B23" i="5"/>
  <c r="B38" i="5"/>
  <c r="C23" i="24"/>
  <c r="B23" i="24"/>
  <c r="C8" i="24"/>
  <c r="B8" i="24"/>
  <c r="C6" i="24"/>
  <c r="C38" i="5"/>
  <c r="C23" i="5"/>
  <c r="C6" i="5"/>
  <c r="C8" i="5"/>
  <c r="H12" i="6"/>
  <c r="D29" i="24"/>
  <c r="D28" i="24"/>
  <c r="D27" i="24"/>
  <c r="D25" i="24"/>
  <c r="D24" i="24"/>
  <c r="D30" i="24"/>
  <c r="D14" i="24"/>
  <c r="D13" i="24"/>
  <c r="D12" i="24"/>
  <c r="D10" i="24"/>
  <c r="D9" i="24"/>
  <c r="D15" i="24"/>
  <c r="I48" i="23"/>
  <c r="H48" i="23"/>
  <c r="I47" i="23"/>
  <c r="H47" i="23"/>
  <c r="I46" i="23"/>
  <c r="H46" i="23"/>
  <c r="I45" i="23"/>
  <c r="H45" i="23"/>
  <c r="I44" i="23"/>
  <c r="H44" i="23"/>
  <c r="I43" i="23"/>
  <c r="H43" i="23"/>
  <c r="I42" i="23"/>
  <c r="H42" i="23"/>
  <c r="I41" i="23"/>
  <c r="H41" i="23"/>
  <c r="I40" i="23"/>
  <c r="H40" i="23"/>
  <c r="I39" i="23"/>
  <c r="H39" i="23"/>
  <c r="H49" i="23" s="1"/>
  <c r="D34" i="24" s="1"/>
  <c r="I34" i="23"/>
  <c r="H34" i="23"/>
  <c r="I33" i="23"/>
  <c r="H33" i="23"/>
  <c r="I32" i="23"/>
  <c r="H32" i="23"/>
  <c r="I31" i="23"/>
  <c r="H31" i="23"/>
  <c r="I30" i="23"/>
  <c r="H30" i="23"/>
  <c r="I29" i="23"/>
  <c r="H29" i="23"/>
  <c r="I28" i="23"/>
  <c r="H28" i="23"/>
  <c r="I24" i="23"/>
  <c r="H24" i="23"/>
  <c r="I23" i="23"/>
  <c r="H23" i="23"/>
  <c r="I22" i="23"/>
  <c r="H22" i="23"/>
  <c r="I21" i="23"/>
  <c r="H21" i="23"/>
  <c r="I20" i="23"/>
  <c r="H20" i="23"/>
  <c r="I19" i="23"/>
  <c r="H19" i="23"/>
  <c r="I18" i="23"/>
  <c r="H18" i="23"/>
  <c r="H25" i="23" s="1"/>
  <c r="D32" i="24" s="1"/>
  <c r="D26" i="24"/>
  <c r="I48" i="22"/>
  <c r="H48" i="22"/>
  <c r="I47" i="22"/>
  <c r="H47" i="22"/>
  <c r="I46" i="22"/>
  <c r="H46" i="22"/>
  <c r="I45" i="22"/>
  <c r="H45" i="22"/>
  <c r="I44" i="22"/>
  <c r="H44" i="22"/>
  <c r="I43" i="22"/>
  <c r="H43" i="22"/>
  <c r="I42" i="22"/>
  <c r="H42" i="22"/>
  <c r="I41" i="22"/>
  <c r="H41" i="22"/>
  <c r="I40" i="22"/>
  <c r="H40" i="22"/>
  <c r="I39" i="22"/>
  <c r="I49" i="22" s="1"/>
  <c r="C19" i="24" s="1"/>
  <c r="H39" i="22"/>
  <c r="H49" i="22"/>
  <c r="D19" i="24" s="1"/>
  <c r="E19" i="24" s="1"/>
  <c r="I34" i="22"/>
  <c r="H34" i="22"/>
  <c r="I33" i="22"/>
  <c r="H33" i="22"/>
  <c r="I32" i="22"/>
  <c r="H32" i="22"/>
  <c r="I31" i="22"/>
  <c r="H31" i="22"/>
  <c r="I30" i="22"/>
  <c r="H30" i="22"/>
  <c r="I29" i="22"/>
  <c r="H29" i="22"/>
  <c r="H36" i="22" s="1"/>
  <c r="D18" i="24" s="1"/>
  <c r="I28" i="22"/>
  <c r="I36" i="22"/>
  <c r="C18" i="24" s="1"/>
  <c r="H28" i="22"/>
  <c r="I24" i="22"/>
  <c r="H24" i="22"/>
  <c r="I23" i="22"/>
  <c r="H23" i="22"/>
  <c r="I22" i="22"/>
  <c r="H22" i="22"/>
  <c r="I21" i="22"/>
  <c r="H21" i="22"/>
  <c r="I20" i="22"/>
  <c r="H20" i="22"/>
  <c r="I19" i="22"/>
  <c r="H19" i="22"/>
  <c r="I18" i="22"/>
  <c r="I25" i="22" s="1"/>
  <c r="C17" i="24" s="1"/>
  <c r="C21" i="24" s="1"/>
  <c r="H18" i="22"/>
  <c r="H25" i="22" s="1"/>
  <c r="D17" i="24" s="1"/>
  <c r="G12" i="22"/>
  <c r="D11" i="24"/>
  <c r="I36" i="23"/>
  <c r="C33" i="24"/>
  <c r="H36" i="23"/>
  <c r="D33" i="24" s="1"/>
  <c r="E33" i="24" s="1"/>
  <c r="I49" i="23"/>
  <c r="C34" i="24" s="1"/>
  <c r="I25" i="23"/>
  <c r="C32" i="24" s="1"/>
  <c r="C36" i="24" s="1"/>
  <c r="J23" i="3"/>
  <c r="I23" i="3"/>
  <c r="G43" i="19"/>
  <c r="G42" i="19"/>
  <c r="G44" i="19"/>
  <c r="G52" i="19" s="1"/>
  <c r="G60" i="19" s="1"/>
  <c r="G63" i="19" s="1"/>
  <c r="G65" i="19" s="1"/>
  <c r="B1" i="20"/>
  <c r="C2" i="19"/>
  <c r="C53" i="21"/>
  <c r="D52" i="21" s="1"/>
  <c r="F52" i="21" s="1"/>
  <c r="B30" i="21"/>
  <c r="B27" i="21"/>
  <c r="B26" i="21"/>
  <c r="B25" i="21"/>
  <c r="B24" i="21"/>
  <c r="B23" i="21"/>
  <c r="B22" i="21"/>
  <c r="B21" i="21"/>
  <c r="B20" i="21"/>
  <c r="B19" i="21"/>
  <c r="B18" i="21"/>
  <c r="B17" i="21"/>
  <c r="B16" i="21"/>
  <c r="B15" i="21"/>
  <c r="D36" i="20"/>
  <c r="D35" i="20"/>
  <c r="D34" i="20"/>
  <c r="D33" i="20"/>
  <c r="D32" i="20"/>
  <c r="D31" i="20"/>
  <c r="D30" i="20"/>
  <c r="D29" i="20"/>
  <c r="D28" i="20"/>
  <c r="D27" i="20"/>
  <c r="D26" i="20"/>
  <c r="E25" i="20"/>
  <c r="F36" i="20" s="1"/>
  <c r="D25" i="20"/>
  <c r="E24" i="20"/>
  <c r="C24" i="20"/>
  <c r="D24" i="20" s="1"/>
  <c r="F24" i="20" s="1"/>
  <c r="E23" i="20"/>
  <c r="C23" i="20"/>
  <c r="D23" i="20"/>
  <c r="F23" i="20" s="1"/>
  <c r="E22" i="20"/>
  <c r="C22" i="20"/>
  <c r="D22" i="20" s="1"/>
  <c r="F22" i="20" s="1"/>
  <c r="E21" i="20"/>
  <c r="C21" i="20"/>
  <c r="D21" i="20"/>
  <c r="F21" i="20" s="1"/>
  <c r="E20" i="20"/>
  <c r="C20" i="20"/>
  <c r="D20" i="20" s="1"/>
  <c r="F20" i="20" s="1"/>
  <c r="E19" i="20"/>
  <c r="C19" i="20"/>
  <c r="D19" i="20"/>
  <c r="F19" i="20" s="1"/>
  <c r="E18" i="20"/>
  <c r="C18" i="20"/>
  <c r="D18" i="20" s="1"/>
  <c r="F18" i="20" s="1"/>
  <c r="E17" i="20"/>
  <c r="C17" i="20"/>
  <c r="D17" i="20"/>
  <c r="F17" i="20" s="1"/>
  <c r="E16" i="20"/>
  <c r="C16" i="20"/>
  <c r="D16" i="20" s="1"/>
  <c r="F16" i="20" s="1"/>
  <c r="E15" i="20"/>
  <c r="C15" i="20"/>
  <c r="D15" i="20"/>
  <c r="F15" i="20" s="1"/>
  <c r="E14" i="20"/>
  <c r="C14" i="20"/>
  <c r="D14" i="20" s="1"/>
  <c r="F14" i="20" s="1"/>
  <c r="E13" i="20"/>
  <c r="C13" i="20"/>
  <c r="D13" i="20"/>
  <c r="F13" i="20" s="1"/>
  <c r="E12" i="20"/>
  <c r="D12" i="20"/>
  <c r="E11" i="20"/>
  <c r="D11" i="20"/>
  <c r="F11" i="20" s="1"/>
  <c r="C11" i="20"/>
  <c r="E10" i="20"/>
  <c r="C10" i="20"/>
  <c r="D10" i="20" s="1"/>
  <c r="F10" i="20" s="1"/>
  <c r="E9" i="20"/>
  <c r="D9" i="20"/>
  <c r="C9" i="20"/>
  <c r="G62" i="19"/>
  <c r="G61" i="19"/>
  <c r="G51" i="19"/>
  <c r="G45" i="19"/>
  <c r="G35" i="19"/>
  <c r="H26" i="19"/>
  <c r="I26" i="19"/>
  <c r="I27" i="19" s="1"/>
  <c r="D13" i="18" s="1"/>
  <c r="H20" i="19"/>
  <c r="I20" i="19"/>
  <c r="H19" i="19"/>
  <c r="I19" i="19"/>
  <c r="H18" i="19"/>
  <c r="I18" i="19"/>
  <c r="F8" i="19"/>
  <c r="G8" i="19"/>
  <c r="G10" i="19" s="1"/>
  <c r="D10" i="18" s="1"/>
  <c r="F9" i="20"/>
  <c r="F12" i="20"/>
  <c r="F25" i="20"/>
  <c r="F26" i="20"/>
  <c r="F37" i="20" s="1"/>
  <c r="D18" i="18" s="1"/>
  <c r="F27" i="20"/>
  <c r="F28" i="20"/>
  <c r="F29" i="20"/>
  <c r="F30" i="20"/>
  <c r="F31" i="20"/>
  <c r="F32" i="20"/>
  <c r="F33" i="20"/>
  <c r="F34" i="20"/>
  <c r="F35" i="20"/>
  <c r="I21" i="19"/>
  <c r="D12" i="18" s="1"/>
  <c r="F27" i="16"/>
  <c r="E27" i="16"/>
  <c r="G27" i="16" s="1"/>
  <c r="F26" i="16"/>
  <c r="E26" i="16"/>
  <c r="G26" i="16"/>
  <c r="F25" i="16"/>
  <c r="E25" i="16"/>
  <c r="G25" i="16" s="1"/>
  <c r="F24" i="16"/>
  <c r="E24" i="16"/>
  <c r="G24" i="16"/>
  <c r="F23" i="16"/>
  <c r="E23" i="16"/>
  <c r="G23" i="16" s="1"/>
  <c r="F22" i="16"/>
  <c r="E22" i="16"/>
  <c r="G22" i="16"/>
  <c r="F21" i="16"/>
  <c r="E21" i="16"/>
  <c r="G21" i="16" s="1"/>
  <c r="F20" i="16"/>
  <c r="E20" i="16"/>
  <c r="G20" i="16"/>
  <c r="F19" i="16"/>
  <c r="E19" i="16"/>
  <c r="G19" i="16" s="1"/>
  <c r="F18" i="16"/>
  <c r="E18" i="16"/>
  <c r="G18" i="16"/>
  <c r="F17" i="16"/>
  <c r="E17" i="16"/>
  <c r="G17" i="16" s="1"/>
  <c r="F16" i="16"/>
  <c r="E16" i="16"/>
  <c r="G16" i="16"/>
  <c r="F15" i="16"/>
  <c r="E15" i="16"/>
  <c r="G15" i="16" s="1"/>
  <c r="F14" i="16"/>
  <c r="E14" i="16"/>
  <c r="G14" i="16"/>
  <c r="AF80" i="15"/>
  <c r="G80" i="15"/>
  <c r="F80" i="15"/>
  <c r="AF79" i="15"/>
  <c r="G79" i="15"/>
  <c r="F79" i="15"/>
  <c r="AF78" i="15"/>
  <c r="G78" i="15"/>
  <c r="F78" i="15"/>
  <c r="AF77" i="15"/>
  <c r="G77" i="15"/>
  <c r="F77" i="15"/>
  <c r="AF76" i="15"/>
  <c r="G76" i="15"/>
  <c r="F76" i="15"/>
  <c r="AF75" i="15"/>
  <c r="G75" i="15"/>
  <c r="F75" i="15"/>
  <c r="AF74" i="15"/>
  <c r="G74" i="15"/>
  <c r="F74" i="15"/>
  <c r="AF73" i="15"/>
  <c r="G73" i="15"/>
  <c r="F73" i="15"/>
  <c r="AF72" i="15"/>
  <c r="G72" i="15"/>
  <c r="F72" i="15"/>
  <c r="AF71" i="15"/>
  <c r="G71" i="15"/>
  <c r="F71" i="15"/>
  <c r="AF70" i="15"/>
  <c r="G70" i="15"/>
  <c r="F70" i="15"/>
  <c r="AF69" i="15"/>
  <c r="G69" i="15"/>
  <c r="F69" i="15"/>
  <c r="AF68" i="15"/>
  <c r="G68" i="15"/>
  <c r="F68" i="15"/>
  <c r="AF67" i="15"/>
  <c r="G67" i="15"/>
  <c r="F67" i="15"/>
  <c r="AF66" i="15"/>
  <c r="G66" i="15"/>
  <c r="F66"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G9" i="15" s="1"/>
  <c r="E9" i="15" s="1"/>
  <c r="F48" i="15"/>
  <c r="G47" i="15"/>
  <c r="F47"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2" i="15"/>
  <c r="E22" i="15" s="1"/>
  <c r="F22" i="15"/>
  <c r="H22" i="15"/>
  <c r="D22" i="15"/>
  <c r="F21" i="15"/>
  <c r="G20" i="15"/>
  <c r="E20" i="15" s="1"/>
  <c r="F20" i="15"/>
  <c r="H20" i="15"/>
  <c r="D20" i="15"/>
  <c r="F19" i="15"/>
  <c r="G18" i="15"/>
  <c r="E18" i="15" s="1"/>
  <c r="F18" i="15"/>
  <c r="H18" i="15"/>
  <c r="D18" i="15"/>
  <c r="F17" i="15"/>
  <c r="G16" i="15"/>
  <c r="E16" i="15" s="1"/>
  <c r="F16" i="15"/>
  <c r="H16" i="15"/>
  <c r="D16" i="15"/>
  <c r="F15" i="15"/>
  <c r="G14" i="15"/>
  <c r="E14" i="15" s="1"/>
  <c r="F14" i="15"/>
  <c r="H14" i="15"/>
  <c r="D14" i="15"/>
  <c r="F13" i="15"/>
  <c r="G12" i="15"/>
  <c r="E12" i="15" s="1"/>
  <c r="F12" i="15"/>
  <c r="H12" i="15"/>
  <c r="D12" i="15"/>
  <c r="F11" i="15"/>
  <c r="G10" i="15"/>
  <c r="E10" i="15" s="1"/>
  <c r="F10" i="15"/>
  <c r="H10" i="15"/>
  <c r="D10" i="15"/>
  <c r="F9" i="15"/>
  <c r="H9" i="15" s="1"/>
  <c r="G8" i="15"/>
  <c r="F8" i="15"/>
  <c r="H8" i="15" s="1"/>
  <c r="E8" i="15"/>
  <c r="V6" i="15"/>
  <c r="V6" i="11" s="1"/>
  <c r="G61" i="14"/>
  <c r="D61" i="14"/>
  <c r="F61" i="14"/>
  <c r="F22" i="14" s="1"/>
  <c r="G60" i="14"/>
  <c r="D60" i="14"/>
  <c r="F60" i="14"/>
  <c r="F21" i="14" s="1"/>
  <c r="G59" i="14"/>
  <c r="D59" i="14"/>
  <c r="F59" i="14"/>
  <c r="F20" i="14" s="1"/>
  <c r="G58" i="14"/>
  <c r="D58" i="14"/>
  <c r="F58" i="14"/>
  <c r="F19" i="14" s="1"/>
  <c r="G57" i="14"/>
  <c r="F57" i="14"/>
  <c r="G56" i="14"/>
  <c r="G17" i="14" s="1"/>
  <c r="E17" i="14" s="1"/>
  <c r="D56" i="14"/>
  <c r="F56" i="14"/>
  <c r="F17" i="14" s="1"/>
  <c r="G55" i="14"/>
  <c r="G16" i="14" s="1"/>
  <c r="E16" i="14" s="1"/>
  <c r="D55" i="14"/>
  <c r="F55" i="14"/>
  <c r="F16" i="14" s="1"/>
  <c r="G54" i="14"/>
  <c r="G15" i="14" s="1"/>
  <c r="E15" i="14" s="1"/>
  <c r="D54" i="14"/>
  <c r="F54" i="14"/>
  <c r="F15" i="14" s="1"/>
  <c r="G53" i="14"/>
  <c r="G14" i="14" s="1"/>
  <c r="E14" i="14" s="1"/>
  <c r="D53" i="14"/>
  <c r="F53" i="14"/>
  <c r="F14" i="14" s="1"/>
  <c r="G52" i="14"/>
  <c r="G13" i="14" s="1"/>
  <c r="E13" i="14" s="1"/>
  <c r="D52" i="14"/>
  <c r="F52" i="14"/>
  <c r="F13" i="14" s="1"/>
  <c r="G51" i="14"/>
  <c r="G12" i="14" s="1"/>
  <c r="E12" i="14" s="1"/>
  <c r="D51" i="14"/>
  <c r="F51" i="14"/>
  <c r="F12" i="14" s="1"/>
  <c r="G50" i="14"/>
  <c r="G11" i="14" s="1"/>
  <c r="E11" i="14" s="1"/>
  <c r="D50" i="14"/>
  <c r="F50" i="14"/>
  <c r="F11" i="14" s="1"/>
  <c r="G49" i="14"/>
  <c r="G10" i="14" s="1"/>
  <c r="E10" i="14" s="1"/>
  <c r="D49" i="14"/>
  <c r="F49" i="14"/>
  <c r="F10" i="14" s="1"/>
  <c r="G48" i="14"/>
  <c r="G9" i="14" s="1"/>
  <c r="E9" i="14" s="1"/>
  <c r="D48" i="14"/>
  <c r="F48" i="14"/>
  <c r="F9" i="14" s="1"/>
  <c r="G47" i="14"/>
  <c r="G8" i="14" s="1"/>
  <c r="D47" i="14"/>
  <c r="F47" i="14"/>
  <c r="F8" i="14" s="1"/>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2" i="14"/>
  <c r="E22" i="14" s="1"/>
  <c r="G21" i="14"/>
  <c r="E21" i="14" s="1"/>
  <c r="G20" i="14"/>
  <c r="E20" i="14" s="1"/>
  <c r="G19" i="14"/>
  <c r="E19" i="14" s="1"/>
  <c r="G18" i="14"/>
  <c r="E18" i="14" s="1"/>
  <c r="F18" i="14"/>
  <c r="H18" i="14"/>
  <c r="D18" i="14"/>
  <c r="V6" i="14"/>
  <c r="V23" i="14" s="1"/>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G43" i="13"/>
  <c r="G22" i="13" s="1"/>
  <c r="E22" i="13" s="1"/>
  <c r="F43" i="13"/>
  <c r="G42" i="13"/>
  <c r="G21" i="13" s="1"/>
  <c r="E21" i="13" s="1"/>
  <c r="F42" i="13"/>
  <c r="G41" i="13"/>
  <c r="G20" i="13" s="1"/>
  <c r="E20" i="13" s="1"/>
  <c r="F41" i="13"/>
  <c r="G40" i="13"/>
  <c r="G19" i="13" s="1"/>
  <c r="E19" i="13" s="1"/>
  <c r="F40" i="13"/>
  <c r="G39" i="13"/>
  <c r="G18" i="13" s="1"/>
  <c r="E18" i="13" s="1"/>
  <c r="F39" i="13"/>
  <c r="G38" i="13"/>
  <c r="G17" i="13" s="1"/>
  <c r="E17" i="13" s="1"/>
  <c r="F38" i="13"/>
  <c r="G37" i="13"/>
  <c r="G16" i="13" s="1"/>
  <c r="E16" i="13" s="1"/>
  <c r="F37" i="13"/>
  <c r="G36" i="13"/>
  <c r="G15" i="13" s="1"/>
  <c r="E15" i="13" s="1"/>
  <c r="F36" i="13"/>
  <c r="G35" i="13"/>
  <c r="G14" i="13" s="1"/>
  <c r="E14" i="13" s="1"/>
  <c r="F35" i="13"/>
  <c r="G34" i="13"/>
  <c r="G13" i="13" s="1"/>
  <c r="E13" i="13" s="1"/>
  <c r="F34" i="13"/>
  <c r="G33" i="13"/>
  <c r="G12" i="13" s="1"/>
  <c r="F33" i="13"/>
  <c r="G32" i="13"/>
  <c r="F32" i="13"/>
  <c r="G31" i="13"/>
  <c r="F31" i="13"/>
  <c r="G30" i="13"/>
  <c r="F30" i="13"/>
  <c r="G29" i="13"/>
  <c r="F23" i="13"/>
  <c r="H22" i="13"/>
  <c r="D22" i="13"/>
  <c r="H21" i="13"/>
  <c r="D21" i="13"/>
  <c r="H20" i="13"/>
  <c r="D20" i="13"/>
  <c r="H19" i="13"/>
  <c r="D19" i="13"/>
  <c r="H18" i="13"/>
  <c r="D18" i="13"/>
  <c r="H17" i="13"/>
  <c r="D17" i="13"/>
  <c r="H16" i="13"/>
  <c r="D16" i="13"/>
  <c r="H15" i="13"/>
  <c r="D15" i="13"/>
  <c r="H14" i="13"/>
  <c r="D14" i="13"/>
  <c r="H13" i="13"/>
  <c r="D13" i="13"/>
  <c r="H12" i="13"/>
  <c r="D12" i="13"/>
  <c r="H11" i="13"/>
  <c r="G11" i="13"/>
  <c r="E11" i="13"/>
  <c r="D11" i="13"/>
  <c r="H10" i="13"/>
  <c r="G10" i="13"/>
  <c r="E10" i="13"/>
  <c r="D10" i="13"/>
  <c r="H9" i="13"/>
  <c r="G9" i="13"/>
  <c r="E9" i="13"/>
  <c r="D9" i="13"/>
  <c r="H8" i="13"/>
  <c r="G8" i="13"/>
  <c r="D8" i="13"/>
  <c r="D6" i="13"/>
  <c r="V6" i="13"/>
  <c r="V6" i="9"/>
  <c r="G62" i="12"/>
  <c r="F62" i="12"/>
  <c r="G61" i="12"/>
  <c r="F61" i="12"/>
  <c r="G60" i="12"/>
  <c r="F60" i="12"/>
  <c r="G59" i="12"/>
  <c r="F59" i="12"/>
  <c r="G58" i="12"/>
  <c r="F58" i="12"/>
  <c r="G57" i="12"/>
  <c r="F57" i="12"/>
  <c r="G56" i="12"/>
  <c r="F56" i="12"/>
  <c r="G55" i="12"/>
  <c r="F55" i="12"/>
  <c r="G54" i="12"/>
  <c r="F54" i="12"/>
  <c r="G53" i="12"/>
  <c r="F53" i="12"/>
  <c r="G52" i="12"/>
  <c r="F52" i="12"/>
  <c r="G51" i="12"/>
  <c r="F51" i="12"/>
  <c r="G50" i="12"/>
  <c r="F50" i="12"/>
  <c r="G49" i="12"/>
  <c r="F49" i="12"/>
  <c r="G48" i="12"/>
  <c r="G43" i="12"/>
  <c r="F43" i="12"/>
  <c r="G42" i="12"/>
  <c r="F42" i="12"/>
  <c r="G41" i="12"/>
  <c r="F41" i="12"/>
  <c r="G40" i="12"/>
  <c r="F40" i="12"/>
  <c r="G39" i="12"/>
  <c r="F39" i="12"/>
  <c r="G38" i="12"/>
  <c r="F38" i="12"/>
  <c r="G37" i="12"/>
  <c r="F37" i="12"/>
  <c r="G36" i="12"/>
  <c r="F36" i="12"/>
  <c r="G35" i="12"/>
  <c r="F35" i="12"/>
  <c r="G34" i="12"/>
  <c r="F34" i="12"/>
  <c r="G33" i="12"/>
  <c r="F33" i="12"/>
  <c r="G32" i="12"/>
  <c r="F32" i="12"/>
  <c r="G31" i="12"/>
  <c r="F31" i="12"/>
  <c r="G30" i="12"/>
  <c r="F30" i="12"/>
  <c r="G29" i="12"/>
  <c r="G22" i="12"/>
  <c r="F22" i="12"/>
  <c r="H22" i="12" s="1"/>
  <c r="E22" i="12"/>
  <c r="G21" i="12"/>
  <c r="E21" i="12" s="1"/>
  <c r="F21" i="12"/>
  <c r="H21" i="12"/>
  <c r="D21" i="12"/>
  <c r="G20" i="12"/>
  <c r="F20" i="12"/>
  <c r="H20" i="12" s="1"/>
  <c r="E20" i="12"/>
  <c r="G19" i="12"/>
  <c r="E19" i="12" s="1"/>
  <c r="F19" i="12"/>
  <c r="H19" i="12"/>
  <c r="D19" i="12"/>
  <c r="G18" i="12"/>
  <c r="F18" i="12"/>
  <c r="H18" i="12" s="1"/>
  <c r="E18" i="12"/>
  <c r="G17" i="12"/>
  <c r="E17" i="12" s="1"/>
  <c r="F17" i="12"/>
  <c r="H17" i="12"/>
  <c r="D17" i="12"/>
  <c r="G16" i="12"/>
  <c r="F16" i="12"/>
  <c r="H16" i="12" s="1"/>
  <c r="E16" i="12"/>
  <c r="G15" i="12"/>
  <c r="E15" i="12" s="1"/>
  <c r="F15" i="12"/>
  <c r="H15" i="12"/>
  <c r="D15" i="12"/>
  <c r="G14" i="12"/>
  <c r="F14" i="12"/>
  <c r="H14" i="12" s="1"/>
  <c r="E14" i="12"/>
  <c r="G13" i="12"/>
  <c r="E13" i="12" s="1"/>
  <c r="F13" i="12"/>
  <c r="H13" i="12"/>
  <c r="D13" i="12"/>
  <c r="G12" i="12"/>
  <c r="F12" i="12"/>
  <c r="H12" i="12" s="1"/>
  <c r="E12" i="12"/>
  <c r="G11" i="12"/>
  <c r="E11" i="12" s="1"/>
  <c r="F11" i="12"/>
  <c r="H11" i="12"/>
  <c r="D11" i="12"/>
  <c r="G10" i="12"/>
  <c r="F10" i="12"/>
  <c r="H10" i="12" s="1"/>
  <c r="E10" i="12"/>
  <c r="G9" i="12"/>
  <c r="E9" i="12" s="1"/>
  <c r="F9" i="12"/>
  <c r="H9" i="12"/>
  <c r="D9" i="12"/>
  <c r="G8" i="12"/>
  <c r="G23" i="12"/>
  <c r="F8" i="12"/>
  <c r="H8" i="12"/>
  <c r="E8" i="12"/>
  <c r="D8" i="12"/>
  <c r="V6" i="12"/>
  <c r="V6" i="8"/>
  <c r="I39" i="11"/>
  <c r="I38" i="11"/>
  <c r="I37" i="11"/>
  <c r="I36" i="11"/>
  <c r="I35" i="11"/>
  <c r="I34" i="11"/>
  <c r="I33" i="11"/>
  <c r="I32" i="11"/>
  <c r="I31" i="11"/>
  <c r="I30" i="11"/>
  <c r="I29" i="11"/>
  <c r="I28" i="11"/>
  <c r="I27" i="11"/>
  <c r="W22" i="11"/>
  <c r="V22" i="11"/>
  <c r="U22" i="11"/>
  <c r="T22" i="11"/>
  <c r="S22" i="11"/>
  <c r="R22" i="11"/>
  <c r="Q22" i="11"/>
  <c r="P22" i="11"/>
  <c r="O22" i="11"/>
  <c r="N22" i="11"/>
  <c r="M22" i="11"/>
  <c r="L22" i="11"/>
  <c r="K22" i="11"/>
  <c r="J22" i="11"/>
  <c r="I22" i="11"/>
  <c r="G22" i="11"/>
  <c r="F22" i="11"/>
  <c r="H22" i="11"/>
  <c r="E22" i="11"/>
  <c r="D22" i="11"/>
  <c r="W21" i="11"/>
  <c r="V21" i="11"/>
  <c r="U21" i="11"/>
  <c r="T21" i="11"/>
  <c r="S21" i="11"/>
  <c r="R21" i="11"/>
  <c r="Q21" i="11"/>
  <c r="P21" i="11"/>
  <c r="O21" i="11"/>
  <c r="N21" i="11"/>
  <c r="M21" i="11"/>
  <c r="L21" i="11"/>
  <c r="K21" i="11"/>
  <c r="J21" i="11"/>
  <c r="I21" i="11"/>
  <c r="F21" i="11"/>
  <c r="H21" i="11"/>
  <c r="D21" i="11"/>
  <c r="W20" i="11"/>
  <c r="V20" i="11"/>
  <c r="U20" i="11"/>
  <c r="T20" i="11"/>
  <c r="S20" i="11"/>
  <c r="R20" i="11"/>
  <c r="Q20" i="11"/>
  <c r="P20" i="11"/>
  <c r="O20" i="11"/>
  <c r="N20" i="11"/>
  <c r="M20" i="11"/>
  <c r="L20" i="11"/>
  <c r="K20" i="11"/>
  <c r="J20" i="11"/>
  <c r="I20" i="11"/>
  <c r="G20" i="11"/>
  <c r="E20" i="11" s="1"/>
  <c r="F20" i="11"/>
  <c r="H20" i="11"/>
  <c r="D20" i="11"/>
  <c r="W19" i="11"/>
  <c r="V19" i="11"/>
  <c r="U19" i="11"/>
  <c r="T19" i="11"/>
  <c r="S19" i="11"/>
  <c r="R19" i="11"/>
  <c r="Q19" i="11"/>
  <c r="P19" i="11"/>
  <c r="O19" i="11"/>
  <c r="N19" i="11"/>
  <c r="M19" i="11"/>
  <c r="L19" i="11"/>
  <c r="K19" i="11"/>
  <c r="J19" i="11"/>
  <c r="I19" i="11"/>
  <c r="F19" i="11"/>
  <c r="H19" i="11"/>
  <c r="D19" i="11"/>
  <c r="W18" i="11"/>
  <c r="V18" i="11"/>
  <c r="U18" i="11"/>
  <c r="T18" i="11"/>
  <c r="S18" i="11"/>
  <c r="R18" i="11"/>
  <c r="Q18" i="11"/>
  <c r="P18" i="11"/>
  <c r="O18" i="11"/>
  <c r="N18" i="11"/>
  <c r="M18" i="11"/>
  <c r="L18" i="11"/>
  <c r="K18" i="11"/>
  <c r="J18" i="11"/>
  <c r="I18" i="11"/>
  <c r="G18" i="11"/>
  <c r="E18" i="11" s="1"/>
  <c r="F18" i="11"/>
  <c r="H18" i="11"/>
  <c r="D18" i="11"/>
  <c r="W17" i="11"/>
  <c r="V17" i="11"/>
  <c r="U17" i="11"/>
  <c r="T17" i="11"/>
  <c r="S17" i="11"/>
  <c r="R17" i="11"/>
  <c r="Q17" i="11"/>
  <c r="P17" i="11"/>
  <c r="O17" i="11"/>
  <c r="N17" i="11"/>
  <c r="M17" i="11"/>
  <c r="L17" i="11"/>
  <c r="K17" i="11"/>
  <c r="J17" i="11"/>
  <c r="I17" i="11"/>
  <c r="F17" i="11"/>
  <c r="H17" i="11"/>
  <c r="D17" i="11"/>
  <c r="W16" i="11"/>
  <c r="V16" i="11"/>
  <c r="U16" i="11"/>
  <c r="T16" i="11"/>
  <c r="S16" i="11"/>
  <c r="R16" i="11"/>
  <c r="Q16" i="11"/>
  <c r="P16" i="11"/>
  <c r="O16" i="11"/>
  <c r="N16" i="11"/>
  <c r="M16" i="11"/>
  <c r="L16" i="11"/>
  <c r="K16" i="11"/>
  <c r="J16" i="11"/>
  <c r="I16" i="11"/>
  <c r="G16" i="11"/>
  <c r="E16" i="11" s="1"/>
  <c r="F16" i="11"/>
  <c r="H16" i="11"/>
  <c r="D16" i="11"/>
  <c r="W15" i="11"/>
  <c r="V15" i="11"/>
  <c r="U15" i="11"/>
  <c r="T15" i="11"/>
  <c r="S15" i="11"/>
  <c r="R15" i="11"/>
  <c r="Q15" i="11"/>
  <c r="P15" i="11"/>
  <c r="O15" i="11"/>
  <c r="N15" i="11"/>
  <c r="M15" i="11"/>
  <c r="L15" i="11"/>
  <c r="K15" i="11"/>
  <c r="J15" i="11"/>
  <c r="I15" i="11"/>
  <c r="F15" i="11"/>
  <c r="H15" i="11"/>
  <c r="D15" i="11"/>
  <c r="W14" i="11"/>
  <c r="V14" i="11"/>
  <c r="U14" i="11"/>
  <c r="T14" i="11"/>
  <c r="S14" i="11"/>
  <c r="R14" i="11"/>
  <c r="Q14" i="11"/>
  <c r="P14" i="11"/>
  <c r="O14" i="11"/>
  <c r="N14" i="11"/>
  <c r="M14" i="11"/>
  <c r="L14" i="11"/>
  <c r="K14" i="11"/>
  <c r="J14" i="11"/>
  <c r="I14" i="11"/>
  <c r="G14" i="11"/>
  <c r="E14" i="11" s="1"/>
  <c r="F14" i="11"/>
  <c r="H14" i="11"/>
  <c r="D14" i="11"/>
  <c r="W13" i="11"/>
  <c r="V13" i="11"/>
  <c r="U13" i="11"/>
  <c r="T13" i="11"/>
  <c r="S13" i="11"/>
  <c r="R13" i="11"/>
  <c r="Q13" i="11"/>
  <c r="P13" i="11"/>
  <c r="O13" i="11"/>
  <c r="N13" i="11"/>
  <c r="M13" i="11"/>
  <c r="L13" i="11"/>
  <c r="K13" i="11"/>
  <c r="J13" i="11"/>
  <c r="I13" i="11"/>
  <c r="F13" i="11"/>
  <c r="H13" i="11"/>
  <c r="D13" i="11"/>
  <c r="W12" i="11"/>
  <c r="V12" i="11"/>
  <c r="U12" i="11"/>
  <c r="T12" i="11"/>
  <c r="S12" i="11"/>
  <c r="R12" i="11"/>
  <c r="Q12" i="11"/>
  <c r="P12" i="11"/>
  <c r="O12" i="11"/>
  <c r="N12" i="11"/>
  <c r="M12" i="11"/>
  <c r="L12" i="11"/>
  <c r="K12" i="11"/>
  <c r="J12" i="11"/>
  <c r="I12" i="11"/>
  <c r="G12" i="11"/>
  <c r="E12" i="11" s="1"/>
  <c r="F12" i="11"/>
  <c r="H12" i="11"/>
  <c r="D12" i="11"/>
  <c r="W11" i="11"/>
  <c r="V11" i="11"/>
  <c r="U11" i="11"/>
  <c r="T11" i="11"/>
  <c r="S11" i="11"/>
  <c r="R11" i="11"/>
  <c r="Q11" i="11"/>
  <c r="P11" i="11"/>
  <c r="O11" i="11"/>
  <c r="N11" i="11"/>
  <c r="M11" i="11"/>
  <c r="L11" i="11"/>
  <c r="K11" i="11"/>
  <c r="J11" i="11"/>
  <c r="I11" i="11"/>
  <c r="F11" i="11"/>
  <c r="H11" i="11"/>
  <c r="W10" i="11"/>
  <c r="V10" i="11"/>
  <c r="U10" i="11"/>
  <c r="T10" i="11"/>
  <c r="S10" i="11"/>
  <c r="R10" i="11"/>
  <c r="Q10" i="11"/>
  <c r="P10" i="11"/>
  <c r="O10" i="11"/>
  <c r="N10" i="11"/>
  <c r="M10" i="11"/>
  <c r="L10" i="11"/>
  <c r="K10" i="11"/>
  <c r="J10" i="11"/>
  <c r="I10" i="11"/>
  <c r="G10" i="11"/>
  <c r="F10" i="11"/>
  <c r="H10" i="11" s="1"/>
  <c r="E10" i="11"/>
  <c r="W9" i="11"/>
  <c r="V9" i="11"/>
  <c r="U9" i="11"/>
  <c r="T9" i="11"/>
  <c r="S9" i="11"/>
  <c r="R9" i="11"/>
  <c r="Q9" i="11"/>
  <c r="P9" i="11"/>
  <c r="O9" i="11"/>
  <c r="N9" i="11"/>
  <c r="M9" i="11"/>
  <c r="L9" i="11"/>
  <c r="K9" i="11"/>
  <c r="J9" i="11"/>
  <c r="I9" i="11"/>
  <c r="G9" i="11"/>
  <c r="F9" i="11"/>
  <c r="H9" i="11" s="1"/>
  <c r="E9" i="11"/>
  <c r="W8" i="11"/>
  <c r="V8" i="11"/>
  <c r="U8" i="11"/>
  <c r="T8" i="11"/>
  <c r="S8" i="11"/>
  <c r="R8" i="11"/>
  <c r="Q8" i="11"/>
  <c r="P8" i="11"/>
  <c r="O8" i="11"/>
  <c r="N8" i="11"/>
  <c r="M8" i="11"/>
  <c r="L8" i="11"/>
  <c r="K8" i="11"/>
  <c r="J8" i="11"/>
  <c r="I8" i="11"/>
  <c r="G8" i="11"/>
  <c r="F8" i="11"/>
  <c r="E8" i="11"/>
  <c r="D8" i="11"/>
  <c r="I39" i="10"/>
  <c r="I38" i="10"/>
  <c r="I37" i="10"/>
  <c r="I36" i="10"/>
  <c r="I35" i="10"/>
  <c r="I34" i="10"/>
  <c r="I33" i="10"/>
  <c r="I32" i="10"/>
  <c r="I31" i="10"/>
  <c r="I30" i="10"/>
  <c r="I29" i="10"/>
  <c r="I28" i="10"/>
  <c r="I27" i="10"/>
  <c r="W22" i="10"/>
  <c r="V22" i="10"/>
  <c r="U22" i="10"/>
  <c r="T22" i="10"/>
  <c r="S22" i="10"/>
  <c r="R22" i="10"/>
  <c r="Q22" i="10"/>
  <c r="P22" i="10"/>
  <c r="O22" i="10"/>
  <c r="N22" i="10"/>
  <c r="M22" i="10"/>
  <c r="L22" i="10"/>
  <c r="K22" i="10"/>
  <c r="J22" i="10"/>
  <c r="I22" i="10"/>
  <c r="G22" i="10"/>
  <c r="F22" i="10"/>
  <c r="H22" i="10" s="1"/>
  <c r="E22" i="10"/>
  <c r="W21" i="10"/>
  <c r="V21" i="10"/>
  <c r="U21" i="10"/>
  <c r="T21" i="10"/>
  <c r="S21" i="10"/>
  <c r="R21" i="10"/>
  <c r="Q21" i="10"/>
  <c r="P21" i="10"/>
  <c r="O21" i="10"/>
  <c r="N21" i="10"/>
  <c r="M21" i="10"/>
  <c r="L21" i="10"/>
  <c r="K21" i="10"/>
  <c r="J21" i="10"/>
  <c r="I21" i="10"/>
  <c r="G21" i="10"/>
  <c r="F21" i="10"/>
  <c r="H21" i="10" s="1"/>
  <c r="E21" i="10"/>
  <c r="W20" i="10"/>
  <c r="V20" i="10"/>
  <c r="U20" i="10"/>
  <c r="T20" i="10"/>
  <c r="S20" i="10"/>
  <c r="R20" i="10"/>
  <c r="Q20" i="10"/>
  <c r="P20" i="10"/>
  <c r="O20" i="10"/>
  <c r="N20" i="10"/>
  <c r="M20" i="10"/>
  <c r="L20" i="10"/>
  <c r="K20" i="10"/>
  <c r="J20" i="10"/>
  <c r="I20" i="10"/>
  <c r="G20" i="10"/>
  <c r="F20" i="10"/>
  <c r="H20" i="10" s="1"/>
  <c r="E20" i="10"/>
  <c r="W19" i="10"/>
  <c r="V19" i="10"/>
  <c r="U19" i="10"/>
  <c r="T19" i="10"/>
  <c r="S19" i="10"/>
  <c r="R19" i="10"/>
  <c r="Q19" i="10"/>
  <c r="P19" i="10"/>
  <c r="O19" i="10"/>
  <c r="N19" i="10"/>
  <c r="M19" i="10"/>
  <c r="L19" i="10"/>
  <c r="K19" i="10"/>
  <c r="J19" i="10"/>
  <c r="I19" i="10"/>
  <c r="G19" i="10"/>
  <c r="F19" i="10"/>
  <c r="H19" i="10" s="1"/>
  <c r="E19" i="10"/>
  <c r="W18" i="10"/>
  <c r="V18" i="10"/>
  <c r="U18" i="10"/>
  <c r="T18" i="10"/>
  <c r="S18" i="10"/>
  <c r="R18" i="10"/>
  <c r="Q18" i="10"/>
  <c r="P18" i="10"/>
  <c r="O18" i="10"/>
  <c r="N18" i="10"/>
  <c r="M18" i="10"/>
  <c r="L18" i="10"/>
  <c r="K18" i="10"/>
  <c r="J18" i="10"/>
  <c r="I18" i="10"/>
  <c r="G18" i="10"/>
  <c r="F18" i="10"/>
  <c r="H18" i="10" s="1"/>
  <c r="E18" i="10"/>
  <c r="W17" i="10"/>
  <c r="V17" i="10"/>
  <c r="U17" i="10"/>
  <c r="T17" i="10"/>
  <c r="S17" i="10"/>
  <c r="R17" i="10"/>
  <c r="Q17" i="10"/>
  <c r="P17" i="10"/>
  <c r="O17" i="10"/>
  <c r="N17" i="10"/>
  <c r="M17" i="10"/>
  <c r="L17" i="10"/>
  <c r="K17" i="10"/>
  <c r="J17" i="10"/>
  <c r="I17" i="10"/>
  <c r="G17" i="10"/>
  <c r="F17" i="10"/>
  <c r="H17" i="10" s="1"/>
  <c r="E17" i="10"/>
  <c r="W16" i="10"/>
  <c r="V16" i="10"/>
  <c r="U16" i="10"/>
  <c r="T16" i="10"/>
  <c r="S16" i="10"/>
  <c r="R16" i="10"/>
  <c r="Q16" i="10"/>
  <c r="P16" i="10"/>
  <c r="O16" i="10"/>
  <c r="N16" i="10"/>
  <c r="M16" i="10"/>
  <c r="L16" i="10"/>
  <c r="K16" i="10"/>
  <c r="J16" i="10"/>
  <c r="I16" i="10"/>
  <c r="G16" i="10"/>
  <c r="F16" i="10"/>
  <c r="H16" i="10" s="1"/>
  <c r="E16" i="10"/>
  <c r="W15" i="10"/>
  <c r="V15" i="10"/>
  <c r="U15" i="10"/>
  <c r="T15" i="10"/>
  <c r="S15" i="10"/>
  <c r="R15" i="10"/>
  <c r="Q15" i="10"/>
  <c r="P15" i="10"/>
  <c r="O15" i="10"/>
  <c r="N15" i="10"/>
  <c r="M15" i="10"/>
  <c r="L15" i="10"/>
  <c r="K15" i="10"/>
  <c r="J15" i="10"/>
  <c r="I15" i="10"/>
  <c r="G15" i="10"/>
  <c r="F15" i="10"/>
  <c r="H15" i="10" s="1"/>
  <c r="E15" i="10"/>
  <c r="W14" i="10"/>
  <c r="V14" i="10"/>
  <c r="U14" i="10"/>
  <c r="T14" i="10"/>
  <c r="S14" i="10"/>
  <c r="R14" i="10"/>
  <c r="Q14" i="10"/>
  <c r="P14" i="10"/>
  <c r="O14" i="10"/>
  <c r="N14" i="10"/>
  <c r="M14" i="10"/>
  <c r="L14" i="10"/>
  <c r="K14" i="10"/>
  <c r="J14" i="10"/>
  <c r="I14" i="10"/>
  <c r="G14" i="10"/>
  <c r="F14" i="10"/>
  <c r="H14" i="10" s="1"/>
  <c r="E14" i="10"/>
  <c r="W13" i="10"/>
  <c r="V13" i="10"/>
  <c r="U13" i="10"/>
  <c r="T13" i="10"/>
  <c r="S13" i="10"/>
  <c r="R13" i="10"/>
  <c r="Q13" i="10"/>
  <c r="P13" i="10"/>
  <c r="O13" i="10"/>
  <c r="N13" i="10"/>
  <c r="M13" i="10"/>
  <c r="L13" i="10"/>
  <c r="K13" i="10"/>
  <c r="J13" i="10"/>
  <c r="I13" i="10"/>
  <c r="G13" i="10"/>
  <c r="F13" i="10"/>
  <c r="H13" i="10" s="1"/>
  <c r="E13" i="10"/>
  <c r="W12" i="10"/>
  <c r="V12" i="10"/>
  <c r="U12" i="10"/>
  <c r="T12" i="10"/>
  <c r="S12" i="10"/>
  <c r="R12" i="10"/>
  <c r="Q12" i="10"/>
  <c r="P12" i="10"/>
  <c r="O12" i="10"/>
  <c r="N12" i="10"/>
  <c r="M12" i="10"/>
  <c r="L12" i="10"/>
  <c r="K12" i="10"/>
  <c r="J12" i="10"/>
  <c r="I12" i="10"/>
  <c r="G12" i="10"/>
  <c r="F12" i="10"/>
  <c r="H12" i="10" s="1"/>
  <c r="E12" i="10"/>
  <c r="W11" i="10"/>
  <c r="V11" i="10"/>
  <c r="U11" i="10"/>
  <c r="T11" i="10"/>
  <c r="S11" i="10"/>
  <c r="R11" i="10"/>
  <c r="Q11" i="10"/>
  <c r="P11" i="10"/>
  <c r="O11" i="10"/>
  <c r="N11" i="10"/>
  <c r="M11" i="10"/>
  <c r="L11" i="10"/>
  <c r="K11" i="10"/>
  <c r="J11" i="10"/>
  <c r="I11" i="10"/>
  <c r="G11" i="10"/>
  <c r="F11" i="10"/>
  <c r="H11" i="10" s="1"/>
  <c r="E11" i="10"/>
  <c r="W10" i="10"/>
  <c r="V10" i="10"/>
  <c r="U10" i="10"/>
  <c r="T10" i="10"/>
  <c r="S10" i="10"/>
  <c r="R10" i="10"/>
  <c r="Q10" i="10"/>
  <c r="P10" i="10"/>
  <c r="O10" i="10"/>
  <c r="N10" i="10"/>
  <c r="M10" i="10"/>
  <c r="L10" i="10"/>
  <c r="K10" i="10"/>
  <c r="J10" i="10"/>
  <c r="I10" i="10"/>
  <c r="G10" i="10"/>
  <c r="F10" i="10"/>
  <c r="H10" i="10" s="1"/>
  <c r="E10" i="10"/>
  <c r="W9" i="10"/>
  <c r="V9" i="10"/>
  <c r="U9" i="10"/>
  <c r="T9" i="10"/>
  <c r="S9" i="10"/>
  <c r="R9" i="10"/>
  <c r="Q9" i="10"/>
  <c r="P9" i="10"/>
  <c r="O9" i="10"/>
  <c r="N9" i="10"/>
  <c r="M9" i="10"/>
  <c r="L9" i="10"/>
  <c r="K9" i="10"/>
  <c r="J9" i="10"/>
  <c r="I9" i="10"/>
  <c r="G9" i="10"/>
  <c r="F9" i="10"/>
  <c r="H9" i="10" s="1"/>
  <c r="E9" i="10"/>
  <c r="W8" i="10"/>
  <c r="V8" i="10"/>
  <c r="U8" i="10"/>
  <c r="T8" i="10"/>
  <c r="S8" i="10"/>
  <c r="R8" i="10"/>
  <c r="Q8" i="10"/>
  <c r="P8" i="10"/>
  <c r="O8" i="10"/>
  <c r="N8" i="10"/>
  <c r="M8" i="10"/>
  <c r="L8" i="10"/>
  <c r="K8" i="10"/>
  <c r="J8" i="10"/>
  <c r="I8" i="10"/>
  <c r="G8" i="10"/>
  <c r="F8" i="10"/>
  <c r="E8" i="10"/>
  <c r="D8" i="10"/>
  <c r="I39" i="9"/>
  <c r="I38" i="9"/>
  <c r="I37" i="9"/>
  <c r="I36" i="9"/>
  <c r="I35" i="9"/>
  <c r="I34" i="9"/>
  <c r="I33" i="9"/>
  <c r="I32" i="9"/>
  <c r="I31" i="9"/>
  <c r="I30" i="9"/>
  <c r="I29" i="9"/>
  <c r="I28" i="9"/>
  <c r="I27" i="9"/>
  <c r="G23" i="9"/>
  <c r="W22" i="9"/>
  <c r="V22" i="9"/>
  <c r="U22" i="9"/>
  <c r="T22" i="9"/>
  <c r="S22" i="9"/>
  <c r="R22" i="9"/>
  <c r="Q22" i="9"/>
  <c r="P22" i="9"/>
  <c r="O22" i="9"/>
  <c r="N22" i="9"/>
  <c r="M22" i="9"/>
  <c r="L22" i="9"/>
  <c r="K22" i="9"/>
  <c r="J22" i="9"/>
  <c r="I22" i="9"/>
  <c r="F22" i="9"/>
  <c r="H22" i="9"/>
  <c r="E22" i="9"/>
  <c r="D22" i="9"/>
  <c r="W21" i="9"/>
  <c r="V21" i="9"/>
  <c r="U21" i="9"/>
  <c r="T21" i="9"/>
  <c r="S21" i="9"/>
  <c r="R21" i="9"/>
  <c r="Q21" i="9"/>
  <c r="P21" i="9"/>
  <c r="O21" i="9"/>
  <c r="N21" i="9"/>
  <c r="M21" i="9"/>
  <c r="L21" i="9"/>
  <c r="K21" i="9"/>
  <c r="J21" i="9"/>
  <c r="I21" i="9"/>
  <c r="F21" i="9"/>
  <c r="H21" i="9" s="1"/>
  <c r="E21" i="9"/>
  <c r="W20" i="9"/>
  <c r="V20" i="9"/>
  <c r="U20" i="9"/>
  <c r="T20" i="9"/>
  <c r="S20" i="9"/>
  <c r="R20" i="9"/>
  <c r="Q20" i="9"/>
  <c r="P20" i="9"/>
  <c r="O20" i="9"/>
  <c r="N20" i="9"/>
  <c r="M20" i="9"/>
  <c r="L20" i="9"/>
  <c r="K20" i="9"/>
  <c r="J20" i="9"/>
  <c r="I20" i="9"/>
  <c r="F20" i="9"/>
  <c r="H20" i="9"/>
  <c r="E20" i="9"/>
  <c r="D20" i="9"/>
  <c r="W19" i="9"/>
  <c r="V19" i="9"/>
  <c r="U19" i="9"/>
  <c r="T19" i="9"/>
  <c r="S19" i="9"/>
  <c r="R19" i="9"/>
  <c r="Q19" i="9"/>
  <c r="P19" i="9"/>
  <c r="O19" i="9"/>
  <c r="N19" i="9"/>
  <c r="M19" i="9"/>
  <c r="L19" i="9"/>
  <c r="K19" i="9"/>
  <c r="J19" i="9"/>
  <c r="I19" i="9"/>
  <c r="F19" i="9"/>
  <c r="H19" i="9" s="1"/>
  <c r="E19" i="9"/>
  <c r="W18" i="9"/>
  <c r="V18" i="9"/>
  <c r="U18" i="9"/>
  <c r="T18" i="9"/>
  <c r="S18" i="9"/>
  <c r="R18" i="9"/>
  <c r="Q18" i="9"/>
  <c r="P18" i="9"/>
  <c r="O18" i="9"/>
  <c r="N18" i="9"/>
  <c r="M18" i="9"/>
  <c r="L18" i="9"/>
  <c r="K18" i="9"/>
  <c r="J18" i="9"/>
  <c r="I18" i="9"/>
  <c r="F18" i="9"/>
  <c r="H18" i="9" s="1"/>
  <c r="E18" i="9"/>
  <c r="W17" i="9"/>
  <c r="V17" i="9"/>
  <c r="U17" i="9"/>
  <c r="T17" i="9"/>
  <c r="S17" i="9"/>
  <c r="R17" i="9"/>
  <c r="Q17" i="9"/>
  <c r="P17" i="9"/>
  <c r="O17" i="9"/>
  <c r="N17" i="9"/>
  <c r="M17" i="9"/>
  <c r="L17" i="9"/>
  <c r="K17" i="9"/>
  <c r="J17" i="9"/>
  <c r="I17" i="9"/>
  <c r="F17" i="9"/>
  <c r="H17" i="9" s="1"/>
  <c r="E17" i="9"/>
  <c r="W16" i="9"/>
  <c r="V16" i="9"/>
  <c r="U16" i="9"/>
  <c r="T16" i="9"/>
  <c r="S16" i="9"/>
  <c r="R16" i="9"/>
  <c r="Q16" i="9"/>
  <c r="P16" i="9"/>
  <c r="O16" i="9"/>
  <c r="N16" i="9"/>
  <c r="M16" i="9"/>
  <c r="L16" i="9"/>
  <c r="K16" i="9"/>
  <c r="J16" i="9"/>
  <c r="I16" i="9"/>
  <c r="F16" i="9"/>
  <c r="H16" i="9"/>
  <c r="E16" i="9"/>
  <c r="W15" i="9"/>
  <c r="V15" i="9"/>
  <c r="U15" i="9"/>
  <c r="T15" i="9"/>
  <c r="S15" i="9"/>
  <c r="R15" i="9"/>
  <c r="Q15" i="9"/>
  <c r="P15" i="9"/>
  <c r="O15" i="9"/>
  <c r="N15" i="9"/>
  <c r="M15" i="9"/>
  <c r="L15" i="9"/>
  <c r="K15" i="9"/>
  <c r="J15" i="9"/>
  <c r="I15" i="9"/>
  <c r="F15" i="9"/>
  <c r="H15" i="9"/>
  <c r="E15" i="9"/>
  <c r="D15" i="9"/>
  <c r="W14" i="9"/>
  <c r="V14" i="9"/>
  <c r="U14" i="9"/>
  <c r="T14" i="9"/>
  <c r="S14" i="9"/>
  <c r="R14" i="9"/>
  <c r="Q14" i="9"/>
  <c r="P14" i="9"/>
  <c r="O14" i="9"/>
  <c r="N14" i="9"/>
  <c r="M14" i="9"/>
  <c r="L14" i="9"/>
  <c r="K14" i="9"/>
  <c r="J14" i="9"/>
  <c r="I14" i="9"/>
  <c r="F14" i="9"/>
  <c r="H14" i="9" s="1"/>
  <c r="E14" i="9"/>
  <c r="W13" i="9"/>
  <c r="V13" i="9"/>
  <c r="U13" i="9"/>
  <c r="T13" i="9"/>
  <c r="S13" i="9"/>
  <c r="R13" i="9"/>
  <c r="Q13" i="9"/>
  <c r="P13" i="9"/>
  <c r="O13" i="9"/>
  <c r="N13" i="9"/>
  <c r="M13" i="9"/>
  <c r="L13" i="9"/>
  <c r="K13" i="9"/>
  <c r="J13" i="9"/>
  <c r="I13" i="9"/>
  <c r="F13" i="9"/>
  <c r="H13" i="9"/>
  <c r="E13" i="9"/>
  <c r="D13" i="9"/>
  <c r="W12" i="9"/>
  <c r="V12" i="9"/>
  <c r="U12" i="9"/>
  <c r="T12" i="9"/>
  <c r="S12" i="9"/>
  <c r="R12" i="9"/>
  <c r="Q12" i="9"/>
  <c r="P12" i="9"/>
  <c r="O12" i="9"/>
  <c r="N12" i="9"/>
  <c r="M12" i="9"/>
  <c r="L12" i="9"/>
  <c r="K12" i="9"/>
  <c r="J12" i="9"/>
  <c r="I12" i="9"/>
  <c r="F12" i="9"/>
  <c r="H12" i="9" s="1"/>
  <c r="E12" i="9"/>
  <c r="W11" i="9"/>
  <c r="V11" i="9"/>
  <c r="U11" i="9"/>
  <c r="T11" i="9"/>
  <c r="S11" i="9"/>
  <c r="R11" i="9"/>
  <c r="Q11" i="9"/>
  <c r="P11" i="9"/>
  <c r="O11" i="9"/>
  <c r="N11" i="9"/>
  <c r="M11" i="9"/>
  <c r="L11" i="9"/>
  <c r="K11" i="9"/>
  <c r="J11" i="9"/>
  <c r="I11" i="9"/>
  <c r="F11" i="9"/>
  <c r="H11" i="9"/>
  <c r="E11" i="9"/>
  <c r="W10" i="9"/>
  <c r="V10" i="9"/>
  <c r="U10" i="9"/>
  <c r="T10" i="9"/>
  <c r="S10" i="9"/>
  <c r="R10" i="9"/>
  <c r="Q10" i="9"/>
  <c r="P10" i="9"/>
  <c r="O10" i="9"/>
  <c r="N10" i="9"/>
  <c r="M10" i="9"/>
  <c r="L10" i="9"/>
  <c r="K10" i="9"/>
  <c r="J10" i="9"/>
  <c r="I10" i="9"/>
  <c r="F10" i="9"/>
  <c r="H10" i="9"/>
  <c r="E10" i="9"/>
  <c r="D10" i="9"/>
  <c r="W9" i="9"/>
  <c r="V9" i="9"/>
  <c r="U9" i="9"/>
  <c r="T9" i="9"/>
  <c r="S9" i="9"/>
  <c r="R9" i="9"/>
  <c r="Q9" i="9"/>
  <c r="P9" i="9"/>
  <c r="O9" i="9"/>
  <c r="N9" i="9"/>
  <c r="M9" i="9"/>
  <c r="L9" i="9"/>
  <c r="K9" i="9"/>
  <c r="J9" i="9"/>
  <c r="I9" i="9"/>
  <c r="F9" i="9"/>
  <c r="H9" i="9" s="1"/>
  <c r="E9" i="9"/>
  <c r="W8" i="9"/>
  <c r="V8" i="9"/>
  <c r="U8" i="9"/>
  <c r="T8" i="9"/>
  <c r="S8" i="9"/>
  <c r="R8" i="9"/>
  <c r="Q8" i="9"/>
  <c r="P8" i="9"/>
  <c r="O8" i="9"/>
  <c r="N8" i="9"/>
  <c r="M8" i="9"/>
  <c r="L8" i="9"/>
  <c r="K8" i="9"/>
  <c r="J8" i="9"/>
  <c r="I8" i="9"/>
  <c r="F8" i="9"/>
  <c r="E8" i="9"/>
  <c r="D8" i="9"/>
  <c r="I39" i="8"/>
  <c r="I38" i="8"/>
  <c r="I37" i="8"/>
  <c r="I36" i="8"/>
  <c r="I35" i="8"/>
  <c r="I34" i="8"/>
  <c r="I33" i="8"/>
  <c r="I32" i="8"/>
  <c r="I31" i="8"/>
  <c r="I30" i="8"/>
  <c r="I29" i="8"/>
  <c r="I28" i="8"/>
  <c r="I27" i="8"/>
  <c r="G23" i="8"/>
  <c r="W22" i="8"/>
  <c r="V22" i="8"/>
  <c r="U22" i="8"/>
  <c r="T22" i="8"/>
  <c r="S22" i="8"/>
  <c r="R22" i="8"/>
  <c r="Q22" i="8"/>
  <c r="P22" i="8"/>
  <c r="O22" i="8"/>
  <c r="N22" i="8"/>
  <c r="M22" i="8"/>
  <c r="L22" i="8"/>
  <c r="K22" i="8"/>
  <c r="J22" i="8"/>
  <c r="I22" i="8"/>
  <c r="F22" i="8"/>
  <c r="H22" i="8"/>
  <c r="E22" i="8"/>
  <c r="D22" i="8"/>
  <c r="W21" i="8"/>
  <c r="V21" i="8"/>
  <c r="U21" i="8"/>
  <c r="T21" i="8"/>
  <c r="S21" i="8"/>
  <c r="R21" i="8"/>
  <c r="Q21" i="8"/>
  <c r="P21" i="8"/>
  <c r="O21" i="8"/>
  <c r="N21" i="8"/>
  <c r="M21" i="8"/>
  <c r="L21" i="8"/>
  <c r="K21" i="8"/>
  <c r="J21" i="8"/>
  <c r="I21" i="8"/>
  <c r="F21" i="8"/>
  <c r="H21" i="8" s="1"/>
  <c r="E21" i="8"/>
  <c r="W20" i="8"/>
  <c r="V20" i="8"/>
  <c r="U20" i="8"/>
  <c r="T20" i="8"/>
  <c r="S20" i="8"/>
  <c r="R20" i="8"/>
  <c r="Q20" i="8"/>
  <c r="P20" i="8"/>
  <c r="O20" i="8"/>
  <c r="N20" i="8"/>
  <c r="M20" i="8"/>
  <c r="L20" i="8"/>
  <c r="K20" i="8"/>
  <c r="J20" i="8"/>
  <c r="I20" i="8"/>
  <c r="F20" i="8"/>
  <c r="H20" i="8"/>
  <c r="E20" i="8"/>
  <c r="D20" i="8"/>
  <c r="W19" i="8"/>
  <c r="V19" i="8"/>
  <c r="U19" i="8"/>
  <c r="T19" i="8"/>
  <c r="S19" i="8"/>
  <c r="R19" i="8"/>
  <c r="Q19" i="8"/>
  <c r="P19" i="8"/>
  <c r="O19" i="8"/>
  <c r="N19" i="8"/>
  <c r="M19" i="8"/>
  <c r="L19" i="8"/>
  <c r="K19" i="8"/>
  <c r="J19" i="8"/>
  <c r="I19" i="8"/>
  <c r="F19" i="8"/>
  <c r="H19" i="8" s="1"/>
  <c r="E19" i="8"/>
  <c r="W18" i="8"/>
  <c r="V18" i="8"/>
  <c r="U18" i="8"/>
  <c r="T18" i="8"/>
  <c r="S18" i="8"/>
  <c r="R18" i="8"/>
  <c r="Q18" i="8"/>
  <c r="P18" i="8"/>
  <c r="O18" i="8"/>
  <c r="N18" i="8"/>
  <c r="M18" i="8"/>
  <c r="L18" i="8"/>
  <c r="K18" i="8"/>
  <c r="J18" i="8"/>
  <c r="I18" i="8"/>
  <c r="F18" i="8"/>
  <c r="H18" i="8"/>
  <c r="E18" i="8"/>
  <c r="D18" i="8"/>
  <c r="W17" i="8"/>
  <c r="V17" i="8"/>
  <c r="U17" i="8"/>
  <c r="T17" i="8"/>
  <c r="S17" i="8"/>
  <c r="R17" i="8"/>
  <c r="Q17" i="8"/>
  <c r="P17" i="8"/>
  <c r="O17" i="8"/>
  <c r="N17" i="8"/>
  <c r="M17" i="8"/>
  <c r="L17" i="8"/>
  <c r="K17" i="8"/>
  <c r="J17" i="8"/>
  <c r="I17" i="8"/>
  <c r="F17" i="8"/>
  <c r="H17" i="8" s="1"/>
  <c r="E17" i="8"/>
  <c r="W16" i="8"/>
  <c r="V16" i="8"/>
  <c r="U16" i="8"/>
  <c r="T16" i="8"/>
  <c r="S16" i="8"/>
  <c r="R16" i="8"/>
  <c r="Q16" i="8"/>
  <c r="P16" i="8"/>
  <c r="O16" i="8"/>
  <c r="N16" i="8"/>
  <c r="M16" i="8"/>
  <c r="L16" i="8"/>
  <c r="K16" i="8"/>
  <c r="J16" i="8"/>
  <c r="I16" i="8"/>
  <c r="F16" i="8"/>
  <c r="H16" i="8"/>
  <c r="E16" i="8"/>
  <c r="D16" i="8"/>
  <c r="W15" i="8"/>
  <c r="V15" i="8"/>
  <c r="U15" i="8"/>
  <c r="T15" i="8"/>
  <c r="S15" i="8"/>
  <c r="R15" i="8"/>
  <c r="Q15" i="8"/>
  <c r="P15" i="8"/>
  <c r="O15" i="8"/>
  <c r="N15" i="8"/>
  <c r="M15" i="8"/>
  <c r="L15" i="8"/>
  <c r="K15" i="8"/>
  <c r="J15" i="8"/>
  <c r="I15" i="8"/>
  <c r="F15" i="8"/>
  <c r="H15" i="8" s="1"/>
  <c r="E15" i="8"/>
  <c r="W14" i="8"/>
  <c r="V14" i="8"/>
  <c r="U14" i="8"/>
  <c r="T14" i="8"/>
  <c r="S14" i="8"/>
  <c r="R14" i="8"/>
  <c r="Q14" i="8"/>
  <c r="P14" i="8"/>
  <c r="O14" i="8"/>
  <c r="N14" i="8"/>
  <c r="M14" i="8"/>
  <c r="L14" i="8"/>
  <c r="K14" i="8"/>
  <c r="J14" i="8"/>
  <c r="I14" i="8"/>
  <c r="F14" i="8"/>
  <c r="H14" i="8"/>
  <c r="E14" i="8"/>
  <c r="D14" i="8"/>
  <c r="W13" i="8"/>
  <c r="V13" i="8"/>
  <c r="U13" i="8"/>
  <c r="T13" i="8"/>
  <c r="S13" i="8"/>
  <c r="R13" i="8"/>
  <c r="Q13" i="8"/>
  <c r="P13" i="8"/>
  <c r="O13" i="8"/>
  <c r="N13" i="8"/>
  <c r="M13" i="8"/>
  <c r="L13" i="8"/>
  <c r="K13" i="8"/>
  <c r="J13" i="8"/>
  <c r="I13" i="8"/>
  <c r="F13" i="8"/>
  <c r="H13" i="8" s="1"/>
  <c r="E13" i="8"/>
  <c r="W12" i="8"/>
  <c r="V12" i="8"/>
  <c r="U12" i="8"/>
  <c r="T12" i="8"/>
  <c r="S12" i="8"/>
  <c r="R12" i="8"/>
  <c r="Q12" i="8"/>
  <c r="P12" i="8"/>
  <c r="O12" i="8"/>
  <c r="N12" i="8"/>
  <c r="M12" i="8"/>
  <c r="L12" i="8"/>
  <c r="K12" i="8"/>
  <c r="J12" i="8"/>
  <c r="I12" i="8"/>
  <c r="F12" i="8"/>
  <c r="H12" i="8"/>
  <c r="E12" i="8"/>
  <c r="D12" i="8"/>
  <c r="W11" i="8"/>
  <c r="V11" i="8"/>
  <c r="U11" i="8"/>
  <c r="T11" i="8"/>
  <c r="S11" i="8"/>
  <c r="R11" i="8"/>
  <c r="Q11" i="8"/>
  <c r="P11" i="8"/>
  <c r="O11" i="8"/>
  <c r="N11" i="8"/>
  <c r="M11" i="8"/>
  <c r="L11" i="8"/>
  <c r="K11" i="8"/>
  <c r="J11" i="8"/>
  <c r="I11" i="8"/>
  <c r="F11" i="8"/>
  <c r="H11" i="8" s="1"/>
  <c r="E11" i="8"/>
  <c r="W10" i="8"/>
  <c r="V10" i="8"/>
  <c r="U10" i="8"/>
  <c r="T10" i="8"/>
  <c r="S10" i="8"/>
  <c r="R10" i="8"/>
  <c r="Q10" i="8"/>
  <c r="P10" i="8"/>
  <c r="O10" i="8"/>
  <c r="N10" i="8"/>
  <c r="M10" i="8"/>
  <c r="L10" i="8"/>
  <c r="K10" i="8"/>
  <c r="J10" i="8"/>
  <c r="I10" i="8"/>
  <c r="F10" i="8"/>
  <c r="H10" i="8"/>
  <c r="E10" i="8"/>
  <c r="D10" i="8"/>
  <c r="W9" i="8"/>
  <c r="V9" i="8"/>
  <c r="U9" i="8"/>
  <c r="T9" i="8"/>
  <c r="S9" i="8"/>
  <c r="R9" i="8"/>
  <c r="Q9" i="8"/>
  <c r="P9" i="8"/>
  <c r="O9" i="8"/>
  <c r="N9" i="8"/>
  <c r="M9" i="8"/>
  <c r="L9" i="8"/>
  <c r="K9" i="8"/>
  <c r="J9" i="8"/>
  <c r="I9" i="8"/>
  <c r="F9" i="8"/>
  <c r="H9" i="8" s="1"/>
  <c r="E9" i="8"/>
  <c r="W8" i="8"/>
  <c r="V8" i="8"/>
  <c r="U8" i="8"/>
  <c r="T8" i="8"/>
  <c r="S8" i="8"/>
  <c r="R8" i="8"/>
  <c r="Q8" i="8"/>
  <c r="P8" i="8"/>
  <c r="O8" i="8"/>
  <c r="N8" i="8"/>
  <c r="M8" i="8"/>
  <c r="L8" i="8"/>
  <c r="K8" i="8"/>
  <c r="J8" i="8"/>
  <c r="I8" i="8"/>
  <c r="F8" i="8"/>
  <c r="D8" i="8"/>
  <c r="E8" i="8"/>
  <c r="D44" i="5"/>
  <c r="D43" i="5"/>
  <c r="D42" i="5"/>
  <c r="D40" i="5"/>
  <c r="D39" i="5"/>
  <c r="D45" i="5" s="1"/>
  <c r="D29" i="5"/>
  <c r="D28" i="5"/>
  <c r="D27" i="5"/>
  <c r="D25" i="5"/>
  <c r="D24" i="5"/>
  <c r="D30" i="5" s="1"/>
  <c r="D14" i="5"/>
  <c r="D13" i="5"/>
  <c r="D12" i="5"/>
  <c r="D10" i="5"/>
  <c r="D9" i="5"/>
  <c r="D15" i="5"/>
  <c r="J48" i="7"/>
  <c r="I48" i="7"/>
  <c r="J47" i="7"/>
  <c r="I47" i="7"/>
  <c r="J46" i="7"/>
  <c r="I46" i="7"/>
  <c r="J45" i="7"/>
  <c r="I45" i="7"/>
  <c r="J44" i="7"/>
  <c r="I44" i="7"/>
  <c r="J43" i="7"/>
  <c r="I43" i="7"/>
  <c r="J42" i="7"/>
  <c r="I42" i="7"/>
  <c r="J41" i="7"/>
  <c r="I41" i="7"/>
  <c r="J40" i="7"/>
  <c r="I40" i="7"/>
  <c r="J39" i="7"/>
  <c r="I39" i="7"/>
  <c r="J34" i="7"/>
  <c r="I34" i="7"/>
  <c r="J33" i="7"/>
  <c r="I33" i="7"/>
  <c r="J32" i="7"/>
  <c r="I32" i="7"/>
  <c r="J31" i="7"/>
  <c r="I31" i="7"/>
  <c r="J30" i="7"/>
  <c r="I30" i="7"/>
  <c r="J29" i="7"/>
  <c r="I29" i="7"/>
  <c r="J28" i="7"/>
  <c r="I28" i="7"/>
  <c r="J24" i="7"/>
  <c r="I24" i="7"/>
  <c r="J23" i="7"/>
  <c r="I23" i="7"/>
  <c r="J22" i="7"/>
  <c r="I22" i="7"/>
  <c r="J21" i="7"/>
  <c r="I21" i="7"/>
  <c r="J20" i="7"/>
  <c r="I20" i="7"/>
  <c r="J19" i="7"/>
  <c r="I19" i="7"/>
  <c r="J18" i="7"/>
  <c r="I18" i="7"/>
  <c r="H12" i="7"/>
  <c r="D41" i="5" s="1"/>
  <c r="J48" i="6"/>
  <c r="I48" i="6"/>
  <c r="J47" i="6"/>
  <c r="I47" i="6"/>
  <c r="J46" i="6"/>
  <c r="I46" i="6"/>
  <c r="J45" i="6"/>
  <c r="I45" i="6"/>
  <c r="J44" i="6"/>
  <c r="I44" i="6"/>
  <c r="J43" i="6"/>
  <c r="I43" i="6"/>
  <c r="J42" i="6"/>
  <c r="I42" i="6"/>
  <c r="J41" i="6"/>
  <c r="I41" i="6"/>
  <c r="J40" i="6"/>
  <c r="I40" i="6"/>
  <c r="J39" i="6"/>
  <c r="I39" i="6"/>
  <c r="J34" i="6"/>
  <c r="I34" i="6"/>
  <c r="J33" i="6"/>
  <c r="I33" i="6"/>
  <c r="J32" i="6"/>
  <c r="I32" i="6"/>
  <c r="J31" i="6"/>
  <c r="I31" i="6"/>
  <c r="J30" i="6"/>
  <c r="I30" i="6"/>
  <c r="J29" i="6"/>
  <c r="I29" i="6"/>
  <c r="J28" i="6"/>
  <c r="J36" i="6" s="1"/>
  <c r="C33" i="5" s="1"/>
  <c r="C36" i="5" s="1"/>
  <c r="I28" i="6"/>
  <c r="J24" i="6"/>
  <c r="I24" i="6"/>
  <c r="J23" i="6"/>
  <c r="I23" i="6"/>
  <c r="J22" i="6"/>
  <c r="I22" i="6"/>
  <c r="J21" i="6"/>
  <c r="I21" i="6"/>
  <c r="J20" i="6"/>
  <c r="I20" i="6"/>
  <c r="J19" i="6"/>
  <c r="I19" i="6"/>
  <c r="J18" i="6"/>
  <c r="I18" i="6"/>
  <c r="I25" i="6" s="1"/>
  <c r="D32" i="5" s="1"/>
  <c r="D26" i="5"/>
  <c r="D11" i="11"/>
  <c r="E6" i="9"/>
  <c r="J25" i="6"/>
  <c r="C32" i="5"/>
  <c r="J49" i="7"/>
  <c r="C49" i="5"/>
  <c r="I49" i="7"/>
  <c r="D49" i="5"/>
  <c r="J36" i="7"/>
  <c r="C48" i="5"/>
  <c r="I36" i="7"/>
  <c r="D48" i="5"/>
  <c r="J25" i="7"/>
  <c r="C47" i="5"/>
  <c r="I25" i="7"/>
  <c r="D47" i="5"/>
  <c r="I49" i="6"/>
  <c r="D34" i="5"/>
  <c r="J49" i="6"/>
  <c r="C34" i="5"/>
  <c r="I36" i="6"/>
  <c r="D33" i="5" s="1"/>
  <c r="V6" i="10"/>
  <c r="E6" i="10"/>
  <c r="G68" i="19"/>
  <c r="D15" i="18" s="1"/>
  <c r="D16" i="18" s="1"/>
  <c r="D19" i="18" s="1"/>
  <c r="E6" i="8"/>
  <c r="F23" i="9"/>
  <c r="D18" i="9"/>
  <c r="D19" i="9"/>
  <c r="D11" i="9"/>
  <c r="D16" i="9"/>
  <c r="D9" i="10"/>
  <c r="F23" i="10"/>
  <c r="F23" i="11"/>
  <c r="H8" i="9"/>
  <c r="G23" i="10"/>
  <c r="H8" i="8"/>
  <c r="F23" i="8"/>
  <c r="F23" i="14"/>
  <c r="H8" i="14"/>
  <c r="D8" i="14"/>
  <c r="H9" i="14"/>
  <c r="D9" i="14"/>
  <c r="H10" i="14"/>
  <c r="D10" i="14"/>
  <c r="H11" i="14"/>
  <c r="D11" i="14"/>
  <c r="H12" i="14"/>
  <c r="D12" i="14"/>
  <c r="H13" i="14"/>
  <c r="D13" i="14"/>
  <c r="H14" i="14"/>
  <c r="D14" i="14"/>
  <c r="H15" i="14"/>
  <c r="D15" i="14"/>
  <c r="H16" i="14"/>
  <c r="D16" i="14"/>
  <c r="H17" i="14"/>
  <c r="D17" i="14"/>
  <c r="H19" i="14"/>
  <c r="D19" i="14"/>
  <c r="H20" i="14"/>
  <c r="D20" i="14"/>
  <c r="H21" i="14"/>
  <c r="D21" i="14"/>
  <c r="H22" i="14"/>
  <c r="D22" i="14"/>
  <c r="H14" i="16"/>
  <c r="I14" i="16" s="1"/>
  <c r="H15" i="16"/>
  <c r="I15" i="16" s="1"/>
  <c r="H16" i="16"/>
  <c r="I16" i="16" s="1"/>
  <c r="I43" i="16" s="1"/>
  <c r="H17" i="16"/>
  <c r="I17" i="16"/>
  <c r="H18" i="16"/>
  <c r="I18" i="16"/>
  <c r="I37" i="16" s="1"/>
  <c r="H19" i="16"/>
  <c r="I19" i="16" s="1"/>
  <c r="H20" i="16"/>
  <c r="I20" i="16" s="1"/>
  <c r="H21" i="16"/>
  <c r="I21" i="16" s="1"/>
  <c r="H22" i="16"/>
  <c r="I22" i="16" s="1"/>
  <c r="I46" i="16" s="1"/>
  <c r="H23" i="16"/>
  <c r="I23" i="16"/>
  <c r="I45" i="16" s="1"/>
  <c r="H24" i="16"/>
  <c r="I24" i="16" s="1"/>
  <c r="H25" i="16"/>
  <c r="I25" i="16" s="1"/>
  <c r="H26" i="16"/>
  <c r="I26" i="16" s="1"/>
  <c r="H27" i="16"/>
  <c r="I27" i="16" s="1"/>
  <c r="H8" i="10"/>
  <c r="H8" i="11"/>
  <c r="F23" i="12"/>
  <c r="E8" i="13"/>
  <c r="F23" i="15"/>
  <c r="J48" i="3"/>
  <c r="I48" i="3"/>
  <c r="J47" i="3"/>
  <c r="I47" i="3"/>
  <c r="J46" i="3"/>
  <c r="I46" i="3"/>
  <c r="J45" i="3"/>
  <c r="I45" i="3"/>
  <c r="J44" i="3"/>
  <c r="I44" i="3"/>
  <c r="J43" i="3"/>
  <c r="I43" i="3"/>
  <c r="J42" i="3"/>
  <c r="I42" i="3"/>
  <c r="J41" i="3"/>
  <c r="I41" i="3"/>
  <c r="J40" i="3"/>
  <c r="I40" i="3"/>
  <c r="J39" i="3"/>
  <c r="J49" i="3" s="1"/>
  <c r="C19" i="5" s="1"/>
  <c r="E19" i="5" s="1"/>
  <c r="I39" i="3"/>
  <c r="J34" i="3"/>
  <c r="I34" i="3"/>
  <c r="J33" i="3"/>
  <c r="I33" i="3"/>
  <c r="J32" i="3"/>
  <c r="I32" i="3"/>
  <c r="J31" i="3"/>
  <c r="I31" i="3"/>
  <c r="J30" i="3"/>
  <c r="I30" i="3"/>
  <c r="J29" i="3"/>
  <c r="I29" i="3"/>
  <c r="J28" i="3"/>
  <c r="J36" i="3" s="1"/>
  <c r="C18" i="5" s="1"/>
  <c r="I28" i="3"/>
  <c r="I36" i="3"/>
  <c r="J24" i="3"/>
  <c r="I24" i="3"/>
  <c r="J22" i="3"/>
  <c r="I22" i="3"/>
  <c r="J21" i="3"/>
  <c r="I21" i="3"/>
  <c r="J20" i="3"/>
  <c r="I20" i="3"/>
  <c r="J19" i="3"/>
  <c r="I19" i="3"/>
  <c r="J18" i="3"/>
  <c r="I18" i="3"/>
  <c r="H12" i="3"/>
  <c r="D11" i="5"/>
  <c r="E49" i="5"/>
  <c r="E48" i="5"/>
  <c r="I49" i="3"/>
  <c r="D19" i="5"/>
  <c r="I25" i="3"/>
  <c r="D17" i="5"/>
  <c r="C51" i="5"/>
  <c r="D51" i="5"/>
  <c r="E47" i="5"/>
  <c r="E34" i="5"/>
  <c r="J25" i="3"/>
  <c r="L6" i="15"/>
  <c r="L6" i="11"/>
  <c r="L6" i="13"/>
  <c r="L6" i="9"/>
  <c r="L6" i="12"/>
  <c r="L6" i="8"/>
  <c r="L6" i="14"/>
  <c r="L6" i="10"/>
  <c r="D6" i="14"/>
  <c r="D18" i="5"/>
  <c r="C17" i="5"/>
  <c r="E51" i="5"/>
  <c r="D21" i="5"/>
  <c r="E17" i="5"/>
  <c r="U6" i="14" l="1"/>
  <c r="U6" i="10" s="1"/>
  <c r="U6" i="15"/>
  <c r="U6" i="11" s="1"/>
  <c r="U6" i="13"/>
  <c r="U6" i="9" s="1"/>
  <c r="U6" i="12"/>
  <c r="U6" i="8" s="1"/>
  <c r="I41" i="16"/>
  <c r="S6" i="14"/>
  <c r="S6" i="10" s="1"/>
  <c r="S6" i="15"/>
  <c r="S6" i="11" s="1"/>
  <c r="S6" i="13"/>
  <c r="S6" i="9" s="1"/>
  <c r="S6" i="12"/>
  <c r="S6" i="8" s="1"/>
  <c r="P6" i="15"/>
  <c r="P6" i="11" s="1"/>
  <c r="P6" i="13"/>
  <c r="P6" i="9" s="1"/>
  <c r="P6" i="12"/>
  <c r="P6" i="8" s="1"/>
  <c r="P6" i="14"/>
  <c r="P6" i="10" s="1"/>
  <c r="N6" i="15"/>
  <c r="N6" i="11" s="1"/>
  <c r="N6" i="13"/>
  <c r="N6" i="9" s="1"/>
  <c r="N6" i="12"/>
  <c r="N6" i="8" s="1"/>
  <c r="N6" i="14"/>
  <c r="N6" i="10" s="1"/>
  <c r="I35" i="16"/>
  <c r="J6" i="15"/>
  <c r="J6" i="11" s="1"/>
  <c r="J6" i="13"/>
  <c r="J6" i="9" s="1"/>
  <c r="J6" i="12"/>
  <c r="J6" i="8" s="1"/>
  <c r="I42" i="16"/>
  <c r="J6" i="14"/>
  <c r="J6" i="10" s="1"/>
  <c r="C21" i="5"/>
  <c r="E21" i="5" s="1"/>
  <c r="E18" i="5"/>
  <c r="W6" i="14"/>
  <c r="W6" i="10" s="1"/>
  <c r="I40" i="16"/>
  <c r="W6" i="15"/>
  <c r="W6" i="11" s="1"/>
  <c r="W6" i="13"/>
  <c r="W6" i="9" s="1"/>
  <c r="W6" i="12"/>
  <c r="W6" i="8" s="1"/>
  <c r="T6" i="14"/>
  <c r="T6" i="10" s="1"/>
  <c r="T6" i="15"/>
  <c r="T6" i="11" s="1"/>
  <c r="T6" i="13"/>
  <c r="T6" i="9" s="1"/>
  <c r="T6" i="12"/>
  <c r="T6" i="8" s="1"/>
  <c r="I44" i="16"/>
  <c r="R6" i="15"/>
  <c r="R6" i="11" s="1"/>
  <c r="R6" i="13"/>
  <c r="R6" i="9" s="1"/>
  <c r="R6" i="12"/>
  <c r="R6" i="8" s="1"/>
  <c r="R6" i="14"/>
  <c r="R6" i="10" s="1"/>
  <c r="Q6" i="14"/>
  <c r="Q6" i="10" s="1"/>
  <c r="Q6" i="15"/>
  <c r="Q6" i="11" s="1"/>
  <c r="Q6" i="13"/>
  <c r="Q6" i="9" s="1"/>
  <c r="Q6" i="12"/>
  <c r="Q6" i="8" s="1"/>
  <c r="O6" i="14"/>
  <c r="O6" i="10" s="1"/>
  <c r="I38" i="16"/>
  <c r="O6" i="15"/>
  <c r="O6" i="11" s="1"/>
  <c r="O6" i="13"/>
  <c r="O6" i="9" s="1"/>
  <c r="O6" i="12"/>
  <c r="O6" i="8" s="1"/>
  <c r="M6" i="14"/>
  <c r="M6" i="10" s="1"/>
  <c r="M6" i="15"/>
  <c r="M6" i="11" s="1"/>
  <c r="M6" i="13"/>
  <c r="M6" i="9" s="1"/>
  <c r="M6" i="12"/>
  <c r="M6" i="8" s="1"/>
  <c r="K6" i="14"/>
  <c r="K6" i="10" s="1"/>
  <c r="K6" i="15"/>
  <c r="K6" i="11" s="1"/>
  <c r="K6" i="13"/>
  <c r="K6" i="9" s="1"/>
  <c r="K6" i="12"/>
  <c r="K6" i="8" s="1"/>
  <c r="I39" i="16"/>
  <c r="I36" i="16"/>
  <c r="I6" i="13"/>
  <c r="I6" i="14"/>
  <c r="I6" i="15"/>
  <c r="I6" i="12"/>
  <c r="E33" i="5"/>
  <c r="E32" i="5"/>
  <c r="D36" i="5"/>
  <c r="E36" i="5" s="1"/>
  <c r="E12" i="13"/>
  <c r="E6" i="13" s="1"/>
  <c r="G23" i="13"/>
  <c r="D9" i="8"/>
  <c r="D11" i="8"/>
  <c r="D13" i="8"/>
  <c r="D15" i="8"/>
  <c r="D17" i="8"/>
  <c r="D19" i="8"/>
  <c r="D21" i="8"/>
  <c r="D9" i="9"/>
  <c r="D12" i="9"/>
  <c r="D14" i="9"/>
  <c r="D17" i="9"/>
  <c r="D21" i="9"/>
  <c r="D10" i="10"/>
  <c r="D11" i="10"/>
  <c r="D12" i="10"/>
  <c r="D13" i="10"/>
  <c r="D14" i="10"/>
  <c r="D15" i="10"/>
  <c r="D16" i="10"/>
  <c r="D17" i="10"/>
  <c r="D18" i="10"/>
  <c r="D19" i="10"/>
  <c r="D20" i="10"/>
  <c r="D21" i="10"/>
  <c r="D22" i="10"/>
  <c r="D9" i="11"/>
  <c r="D6" i="11" s="1"/>
  <c r="D10" i="11"/>
  <c r="E6" i="12"/>
  <c r="G23" i="14"/>
  <c r="E8" i="14"/>
  <c r="E6" i="14" s="1"/>
  <c r="D10" i="12"/>
  <c r="D12" i="12"/>
  <c r="D14" i="12"/>
  <c r="D16" i="12"/>
  <c r="D18" i="12"/>
  <c r="D20" i="12"/>
  <c r="D22" i="12"/>
  <c r="D8" i="15"/>
  <c r="D9" i="15"/>
  <c r="E18" i="24"/>
  <c r="D36" i="24"/>
  <c r="E36" i="24" s="1"/>
  <c r="E32" i="24"/>
  <c r="E34" i="24"/>
  <c r="H11" i="15"/>
  <c r="D11" i="15"/>
  <c r="H13" i="15"/>
  <c r="D13" i="15"/>
  <c r="H15" i="15"/>
  <c r="D15" i="15"/>
  <c r="H17" i="15"/>
  <c r="D17" i="15"/>
  <c r="H19" i="15"/>
  <c r="D19" i="15"/>
  <c r="H21" i="15"/>
  <c r="D21" i="15"/>
  <c r="G11" i="15"/>
  <c r="G23" i="15" s="1"/>
  <c r="G13" i="15"/>
  <c r="G15" i="15"/>
  <c r="G17" i="15"/>
  <c r="G19" i="15"/>
  <c r="G21" i="15"/>
  <c r="D21" i="24"/>
  <c r="E21" i="24" s="1"/>
  <c r="E17" i="24"/>
  <c r="D39" i="21"/>
  <c r="D40" i="21"/>
  <c r="F40" i="21" s="1"/>
  <c r="D41" i="21"/>
  <c r="F41" i="21" s="1"/>
  <c r="D42" i="21"/>
  <c r="F42" i="21" s="1"/>
  <c r="D43" i="21"/>
  <c r="F43" i="21" s="1"/>
  <c r="D44" i="21"/>
  <c r="F44" i="21" s="1"/>
  <c r="D45" i="21"/>
  <c r="F45" i="21" s="1"/>
  <c r="D46" i="21"/>
  <c r="F46" i="21" s="1"/>
  <c r="D47" i="21"/>
  <c r="F47" i="21" s="1"/>
  <c r="D48" i="21"/>
  <c r="F48" i="21" s="1"/>
  <c r="D49" i="21"/>
  <c r="F49" i="21" s="1"/>
  <c r="D50" i="21"/>
  <c r="F50" i="21" s="1"/>
  <c r="D51" i="21"/>
  <c r="F51" i="21" s="1"/>
  <c r="E21" i="15" l="1"/>
  <c r="G21" i="11"/>
  <c r="E21" i="11" s="1"/>
  <c r="E17" i="15"/>
  <c r="G17" i="11"/>
  <c r="E17" i="11" s="1"/>
  <c r="E13" i="15"/>
  <c r="G13" i="11"/>
  <c r="E13" i="11" s="1"/>
  <c r="D6" i="12"/>
  <c r="D6" i="9"/>
  <c r="X21" i="12"/>
  <c r="Y21" i="12" s="1"/>
  <c r="X19" i="12"/>
  <c r="Y19" i="12" s="1"/>
  <c r="X17" i="12"/>
  <c r="Y17" i="12" s="1"/>
  <c r="X15" i="12"/>
  <c r="Y15" i="12" s="1"/>
  <c r="X13" i="12"/>
  <c r="Y13" i="12" s="1"/>
  <c r="X11" i="12"/>
  <c r="Y11" i="12" s="1"/>
  <c r="X9" i="12"/>
  <c r="Y9" i="12" s="1"/>
  <c r="X22" i="12"/>
  <c r="Y22" i="12" s="1"/>
  <c r="X20" i="12"/>
  <c r="Y20" i="12" s="1"/>
  <c r="X18" i="12"/>
  <c r="Y18" i="12" s="1"/>
  <c r="X16" i="12"/>
  <c r="Y16" i="12" s="1"/>
  <c r="X14" i="12"/>
  <c r="Y14" i="12" s="1"/>
  <c r="X12" i="12"/>
  <c r="Y12" i="12" s="1"/>
  <c r="X10" i="12"/>
  <c r="Y10" i="12" s="1"/>
  <c r="X8" i="12"/>
  <c r="Y8" i="12" s="1"/>
  <c r="I6" i="8"/>
  <c r="X22" i="14"/>
  <c r="Y22" i="14" s="1"/>
  <c r="X20" i="14"/>
  <c r="Y20" i="14" s="1"/>
  <c r="X18" i="14"/>
  <c r="Y18" i="14" s="1"/>
  <c r="X16" i="14"/>
  <c r="Y16" i="14" s="1"/>
  <c r="X14" i="14"/>
  <c r="Y14" i="14" s="1"/>
  <c r="X12" i="14"/>
  <c r="Y12" i="14" s="1"/>
  <c r="X10" i="14"/>
  <c r="Y10" i="14" s="1"/>
  <c r="X8" i="14"/>
  <c r="Y8" i="14" s="1"/>
  <c r="X21" i="14"/>
  <c r="Y21" i="14" s="1"/>
  <c r="X19" i="14"/>
  <c r="Y19" i="14" s="1"/>
  <c r="X17" i="14"/>
  <c r="Y17" i="14" s="1"/>
  <c r="X15" i="14"/>
  <c r="Y15" i="14" s="1"/>
  <c r="X13" i="14"/>
  <c r="Y13" i="14" s="1"/>
  <c r="X11" i="14"/>
  <c r="Y11" i="14" s="1"/>
  <c r="X9" i="14"/>
  <c r="Y9" i="14" s="1"/>
  <c r="I6" i="10"/>
  <c r="D53" i="21"/>
  <c r="F39" i="21"/>
  <c r="F53" i="21" s="1"/>
  <c r="E19" i="15"/>
  <c r="G19" i="11"/>
  <c r="E19" i="11" s="1"/>
  <c r="E15" i="15"/>
  <c r="G15" i="11"/>
  <c r="E15" i="11" s="1"/>
  <c r="E11" i="15"/>
  <c r="E6" i="15" s="1"/>
  <c r="G11" i="11"/>
  <c r="D6" i="15"/>
  <c r="D6" i="10"/>
  <c r="D6" i="8"/>
  <c r="X21" i="15"/>
  <c r="Y21" i="15" s="1"/>
  <c r="X19" i="15"/>
  <c r="Y19" i="15" s="1"/>
  <c r="X15" i="15"/>
  <c r="Y15" i="15" s="1"/>
  <c r="X11" i="15"/>
  <c r="Y11" i="15" s="1"/>
  <c r="X22" i="15"/>
  <c r="Y22" i="15" s="1"/>
  <c r="X20" i="15"/>
  <c r="Y20" i="15" s="1"/>
  <c r="X18" i="15"/>
  <c r="Y18" i="15" s="1"/>
  <c r="X16" i="15"/>
  <c r="Y16" i="15" s="1"/>
  <c r="X14" i="15"/>
  <c r="Y14" i="15" s="1"/>
  <c r="X12" i="15"/>
  <c r="Y12" i="15" s="1"/>
  <c r="X10" i="15"/>
  <c r="Y10" i="15" s="1"/>
  <c r="X8" i="15"/>
  <c r="Y8" i="15" s="1"/>
  <c r="I6" i="11"/>
  <c r="X17" i="15"/>
  <c r="Y17" i="15" s="1"/>
  <c r="X13" i="15"/>
  <c r="Y13" i="15" s="1"/>
  <c r="X9" i="15"/>
  <c r="Y9" i="15" s="1"/>
  <c r="X22" i="13"/>
  <c r="Y22" i="13" s="1"/>
  <c r="X21" i="13"/>
  <c r="Y21" i="13" s="1"/>
  <c r="X20" i="13"/>
  <c r="Y20" i="13" s="1"/>
  <c r="X19" i="13"/>
  <c r="Y19" i="13" s="1"/>
  <c r="X18" i="13"/>
  <c r="Y18" i="13" s="1"/>
  <c r="X17" i="13"/>
  <c r="Y17" i="13" s="1"/>
  <c r="X16" i="13"/>
  <c r="Y16" i="13" s="1"/>
  <c r="X15" i="13"/>
  <c r="Y15" i="13" s="1"/>
  <c r="X14" i="13"/>
  <c r="Y14" i="13" s="1"/>
  <c r="X13" i="13"/>
  <c r="Y13" i="13" s="1"/>
  <c r="X12" i="13"/>
  <c r="Y12" i="13" s="1"/>
  <c r="X11" i="13"/>
  <c r="Y11" i="13" s="1"/>
  <c r="X10" i="13"/>
  <c r="Y10" i="13" s="1"/>
  <c r="X9" i="13"/>
  <c r="Y9" i="13" s="1"/>
  <c r="X8" i="13"/>
  <c r="Y8" i="13" s="1"/>
  <c r="I6" i="9"/>
  <c r="U24" i="13" l="1"/>
  <c r="U23" i="13" s="1"/>
  <c r="S24" i="13"/>
  <c r="S23" i="13" s="1"/>
  <c r="Q24" i="13"/>
  <c r="Q23" i="13" s="1"/>
  <c r="O24" i="13"/>
  <c r="O23" i="13" s="1"/>
  <c r="M24" i="13"/>
  <c r="M23" i="13" s="1"/>
  <c r="K24" i="13"/>
  <c r="K23" i="13" s="1"/>
  <c r="I24" i="13"/>
  <c r="I23" i="13" s="1"/>
  <c r="W24" i="13"/>
  <c r="W23" i="13" s="1"/>
  <c r="T24" i="13"/>
  <c r="T23" i="13" s="1"/>
  <c r="R24" i="13"/>
  <c r="R23" i="13" s="1"/>
  <c r="P24" i="13"/>
  <c r="P23" i="13" s="1"/>
  <c r="N24" i="13"/>
  <c r="N23" i="13" s="1"/>
  <c r="L24" i="13"/>
  <c r="L23" i="13" s="1"/>
  <c r="J24" i="13"/>
  <c r="J23" i="13" s="1"/>
  <c r="X18" i="11"/>
  <c r="Y18" i="11" s="1"/>
  <c r="X17" i="11"/>
  <c r="Y17" i="11" s="1"/>
  <c r="X16" i="11"/>
  <c r="Y16" i="11" s="1"/>
  <c r="X15" i="11"/>
  <c r="Y15" i="11" s="1"/>
  <c r="X14" i="11"/>
  <c r="Y14" i="11" s="1"/>
  <c r="X13" i="11"/>
  <c r="Y13" i="11" s="1"/>
  <c r="X12" i="11"/>
  <c r="Y12" i="11" s="1"/>
  <c r="X11" i="11"/>
  <c r="Y11" i="11" s="1"/>
  <c r="X10" i="11"/>
  <c r="Y10" i="11" s="1"/>
  <c r="X9" i="11"/>
  <c r="Y9" i="11" s="1"/>
  <c r="X8" i="11"/>
  <c r="Y8" i="11" s="1"/>
  <c r="X19" i="11"/>
  <c r="Y19" i="11" s="1"/>
  <c r="X21" i="11"/>
  <c r="Y21" i="11" s="1"/>
  <c r="X20" i="11"/>
  <c r="Y20" i="11" s="1"/>
  <c r="X22" i="11"/>
  <c r="Y22" i="11" s="1"/>
  <c r="E11" i="11"/>
  <c r="E6" i="11" s="1"/>
  <c r="G23" i="1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W24" i="14"/>
  <c r="W23" i="14" s="1"/>
  <c r="T24" i="14"/>
  <c r="T23" i="14" s="1"/>
  <c r="R24" i="14"/>
  <c r="R23" i="14" s="1"/>
  <c r="P24" i="14"/>
  <c r="P23" i="14" s="1"/>
  <c r="N24" i="14"/>
  <c r="N23" i="14" s="1"/>
  <c r="L24" i="14"/>
  <c r="L23" i="14" s="1"/>
  <c r="J24" i="14"/>
  <c r="J23" i="14" s="1"/>
  <c r="U24" i="14"/>
  <c r="U23" i="14" s="1"/>
  <c r="S24" i="14"/>
  <c r="S23" i="14" s="1"/>
  <c r="Q24" i="14"/>
  <c r="Q23" i="14" s="1"/>
  <c r="O24" i="14"/>
  <c r="O23" i="14" s="1"/>
  <c r="M24" i="14"/>
  <c r="M23" i="14" s="1"/>
  <c r="K24" i="14"/>
  <c r="K23" i="14" s="1"/>
  <c r="I24" i="14"/>
  <c r="I23" i="14" s="1"/>
  <c r="X21" i="8"/>
  <c r="Y21" i="8" s="1"/>
  <c r="X19" i="8"/>
  <c r="Y19" i="8" s="1"/>
  <c r="X17" i="8"/>
  <c r="Y17" i="8" s="1"/>
  <c r="X15" i="8"/>
  <c r="Y15" i="8" s="1"/>
  <c r="X13" i="8"/>
  <c r="Y13" i="8" s="1"/>
  <c r="X11" i="8"/>
  <c r="Y11" i="8" s="1"/>
  <c r="X9" i="8"/>
  <c r="Y9" i="8" s="1"/>
  <c r="X12" i="8"/>
  <c r="Y12" i="8" s="1"/>
  <c r="X10" i="8"/>
  <c r="Y10" i="8" s="1"/>
  <c r="X18" i="8"/>
  <c r="Y18" i="8" s="1"/>
  <c r="X16" i="8"/>
  <c r="Y16" i="8" s="1"/>
  <c r="X20" i="8"/>
  <c r="Y20" i="8" s="1"/>
  <c r="X14" i="8"/>
  <c r="Y14" i="8" s="1"/>
  <c r="X22" i="8"/>
  <c r="Y22" i="8" s="1"/>
  <c r="X8" i="8"/>
  <c r="Y8" i="8" s="1"/>
  <c r="X22" i="9"/>
  <c r="Y22" i="9" s="1"/>
  <c r="X20" i="9"/>
  <c r="Y20" i="9" s="1"/>
  <c r="X18" i="9"/>
  <c r="Y18" i="9" s="1"/>
  <c r="X16" i="9"/>
  <c r="Y16" i="9" s="1"/>
  <c r="X14" i="9"/>
  <c r="Y14" i="9" s="1"/>
  <c r="X12" i="9"/>
  <c r="Y12" i="9" s="1"/>
  <c r="X10" i="9"/>
  <c r="Y10" i="9" s="1"/>
  <c r="X8" i="9"/>
  <c r="Y8" i="9" s="1"/>
  <c r="X15" i="9"/>
  <c r="Y15" i="9" s="1"/>
  <c r="X13" i="9"/>
  <c r="Y13" i="9" s="1"/>
  <c r="X21" i="9"/>
  <c r="Y21" i="9" s="1"/>
  <c r="X9" i="9"/>
  <c r="Y9" i="9" s="1"/>
  <c r="X11" i="9"/>
  <c r="Y11" i="9" s="1"/>
  <c r="X19" i="9"/>
  <c r="Y19" i="9" s="1"/>
  <c r="X17" i="9"/>
  <c r="Y17" i="9" s="1"/>
  <c r="W24" i="15"/>
  <c r="W23" i="15" s="1"/>
  <c r="T24" i="15"/>
  <c r="T23" i="15" s="1"/>
  <c r="R24" i="15"/>
  <c r="R23" i="15" s="1"/>
  <c r="P24" i="15"/>
  <c r="P23" i="15" s="1"/>
  <c r="N24" i="15"/>
  <c r="N23" i="15" s="1"/>
  <c r="L24" i="15"/>
  <c r="L23" i="15" s="1"/>
  <c r="J24" i="15"/>
  <c r="J23" i="15" s="1"/>
  <c r="U24" i="15"/>
  <c r="U23" i="15" s="1"/>
  <c r="S24" i="15"/>
  <c r="S23" i="15" s="1"/>
  <c r="Q24" i="15"/>
  <c r="Q23" i="15" s="1"/>
  <c r="O24" i="15"/>
  <c r="O23" i="15" s="1"/>
  <c r="M24" i="15"/>
  <c r="M23" i="15" s="1"/>
  <c r="K24" i="15"/>
  <c r="K23" i="15" s="1"/>
  <c r="I24" i="15"/>
  <c r="I23" i="15" s="1"/>
  <c r="W24" i="12"/>
  <c r="W23" i="12" s="1"/>
  <c r="T24" i="12"/>
  <c r="T23" i="12" s="1"/>
  <c r="R24" i="12"/>
  <c r="R23" i="12" s="1"/>
  <c r="P24" i="12"/>
  <c r="P23" i="12" s="1"/>
  <c r="N24" i="12"/>
  <c r="N23" i="12" s="1"/>
  <c r="L24" i="12"/>
  <c r="L23" i="12" s="1"/>
  <c r="J24" i="12"/>
  <c r="J23" i="12" s="1"/>
  <c r="U24" i="12"/>
  <c r="U23" i="12" s="1"/>
  <c r="S24" i="12"/>
  <c r="S23" i="12" s="1"/>
  <c r="Q24" i="12"/>
  <c r="Q23" i="12" s="1"/>
  <c r="O24" i="12"/>
  <c r="O23" i="12" s="1"/>
  <c r="M24" i="12"/>
  <c r="M23" i="12" s="1"/>
  <c r="K24" i="12"/>
  <c r="K23" i="12" s="1"/>
  <c r="I24" i="12"/>
  <c r="I23" i="12" s="1"/>
  <c r="Y24" i="10" l="1"/>
  <c r="N24" i="10"/>
  <c r="V24" i="10"/>
  <c r="M24" i="10"/>
  <c r="U24" i="10"/>
  <c r="P24" i="10"/>
  <c r="P23" i="10" s="1"/>
  <c r="T24" i="10"/>
  <c r="O24" i="10"/>
  <c r="J24" i="10"/>
  <c r="R24" i="10"/>
  <c r="I24" i="10"/>
  <c r="Q24" i="10"/>
  <c r="L24" i="10"/>
  <c r="K24" i="10"/>
  <c r="S24" i="10"/>
  <c r="S23" i="10" s="1"/>
  <c r="W24" i="10"/>
  <c r="Y24" i="9"/>
  <c r="U24" i="9"/>
  <c r="P24" i="9"/>
  <c r="P23" i="9" s="1"/>
  <c r="M24" i="9"/>
  <c r="L24" i="9"/>
  <c r="T24" i="9"/>
  <c r="W24" i="9"/>
  <c r="Q24" i="9"/>
  <c r="N24" i="9"/>
  <c r="V24" i="9"/>
  <c r="S24" i="9"/>
  <c r="S23" i="9" s="1"/>
  <c r="O24" i="9"/>
  <c r="I24" i="9"/>
  <c r="J24" i="9"/>
  <c r="R24" i="9"/>
  <c r="K24" i="9"/>
  <c r="Y24" i="8"/>
  <c r="U24" i="8"/>
  <c r="P24" i="8"/>
  <c r="P23" i="8" s="1"/>
  <c r="T24" i="8"/>
  <c r="S24" i="8"/>
  <c r="S23" i="8" s="1"/>
  <c r="I24" i="8"/>
  <c r="J24" i="8"/>
  <c r="R24" i="8"/>
  <c r="O24" i="8"/>
  <c r="M24" i="8"/>
  <c r="L24" i="8"/>
  <c r="K24" i="8"/>
  <c r="Q24" i="8"/>
  <c r="N24" i="8"/>
  <c r="V24" i="8"/>
  <c r="W24" i="8"/>
  <c r="Y24" i="11"/>
  <c r="S24" i="11"/>
  <c r="S23" i="11" s="1"/>
  <c r="W24" i="11"/>
  <c r="T24" i="11"/>
  <c r="M24" i="11"/>
  <c r="U24" i="11"/>
  <c r="N24" i="11"/>
  <c r="V24" i="11"/>
  <c r="P24" i="11"/>
  <c r="P23" i="11" s="1"/>
  <c r="O24" i="11"/>
  <c r="L24" i="11"/>
  <c r="I24" i="11"/>
  <c r="Q24" i="11"/>
  <c r="J24" i="11"/>
  <c r="R24" i="11"/>
  <c r="K24" i="11"/>
  <c r="J33" i="11" l="1"/>
  <c r="J23" i="11"/>
  <c r="J32" i="11"/>
  <c r="O23" i="11"/>
  <c r="J39" i="11"/>
  <c r="V23" i="11"/>
  <c r="J34" i="11"/>
  <c r="U23" i="11"/>
  <c r="J35" i="11"/>
  <c r="T23" i="11"/>
  <c r="J37" i="8"/>
  <c r="W23" i="8"/>
  <c r="N23" i="8"/>
  <c r="J31" i="8"/>
  <c r="J28" i="8"/>
  <c r="K23" i="8"/>
  <c r="J30" i="8"/>
  <c r="M23" i="8"/>
  <c r="R23" i="8"/>
  <c r="J38" i="8"/>
  <c r="J27" i="8"/>
  <c r="I23" i="8"/>
  <c r="T23" i="8"/>
  <c r="J35" i="8"/>
  <c r="J34" i="8"/>
  <c r="U23" i="8"/>
  <c r="J28" i="9"/>
  <c r="K23" i="9"/>
  <c r="J33" i="9"/>
  <c r="J23" i="9"/>
  <c r="J32" i="9"/>
  <c r="O23" i="9"/>
  <c r="J39" i="9"/>
  <c r="V23" i="9"/>
  <c r="J36" i="9"/>
  <c r="Q23" i="9"/>
  <c r="J35" i="9"/>
  <c r="T23" i="9"/>
  <c r="J30" i="9"/>
  <c r="M23" i="9"/>
  <c r="J34" i="9"/>
  <c r="U23" i="9"/>
  <c r="J37" i="10"/>
  <c r="W23" i="10"/>
  <c r="J28" i="10"/>
  <c r="K23" i="10"/>
  <c r="J36" i="10"/>
  <c r="Q23" i="10"/>
  <c r="J38" i="10"/>
  <c r="R23" i="10"/>
  <c r="J32" i="10"/>
  <c r="O23" i="10"/>
  <c r="J30" i="10"/>
  <c r="M23" i="10"/>
  <c r="J31" i="10"/>
  <c r="N23" i="10"/>
  <c r="J28" i="11"/>
  <c r="K23" i="11"/>
  <c r="J27" i="11"/>
  <c r="I23" i="11"/>
  <c r="J38" i="11"/>
  <c r="R23" i="11"/>
  <c r="J36" i="11"/>
  <c r="Q23" i="11"/>
  <c r="J29" i="11"/>
  <c r="L23" i="11"/>
  <c r="J31" i="11"/>
  <c r="N23" i="11"/>
  <c r="J30" i="11"/>
  <c r="M23" i="11"/>
  <c r="J37" i="11"/>
  <c r="W23" i="11"/>
  <c r="V23" i="8"/>
  <c r="J39" i="8"/>
  <c r="J36" i="8"/>
  <c r="Q23" i="8"/>
  <c r="L23" i="8"/>
  <c r="J29" i="8"/>
  <c r="J32" i="8"/>
  <c r="O23" i="8"/>
  <c r="J23" i="8"/>
  <c r="J33" i="8"/>
  <c r="J38" i="9"/>
  <c r="R23" i="9"/>
  <c r="J27" i="9"/>
  <c r="I23" i="9"/>
  <c r="J31" i="9"/>
  <c r="N23" i="9"/>
  <c r="J37" i="9"/>
  <c r="W23" i="9"/>
  <c r="J29" i="9"/>
  <c r="L23" i="9"/>
  <c r="J29" i="10"/>
  <c r="L23" i="10"/>
  <c r="J27" i="10"/>
  <c r="I23" i="10"/>
  <c r="J33" i="10"/>
  <c r="J23" i="10"/>
  <c r="J35" i="10"/>
  <c r="T23" i="10"/>
  <c r="J34" i="10"/>
  <c r="U23" i="10"/>
  <c r="J39" i="10"/>
  <c r="V23" i="10"/>
</calcChain>
</file>

<file path=xl/comments1.xml><?xml version="1.0" encoding="utf-8"?>
<comments xmlns="http://schemas.openxmlformats.org/spreadsheetml/2006/main">
  <authors>
    <author>PRESSMAN</author>
  </authors>
  <commentList>
    <comment ref="H17" authorId="0">
      <text>
        <r>
          <rPr>
            <sz val="11"/>
            <color indexed="81"/>
            <rFont val="Tahoma"/>
            <family val="2"/>
          </rPr>
          <t>Update based on year of vehicle</t>
        </r>
      </text>
    </comment>
    <comment ref="H25" authorId="0">
      <text>
        <r>
          <rPr>
            <sz val="11"/>
            <color indexed="81"/>
            <rFont val="Tahoma"/>
            <family val="2"/>
          </rPr>
          <t>Update based on year of vehicle</t>
        </r>
      </text>
    </comment>
  </commentList>
</comments>
</file>

<file path=xl/comments2.xml><?xml version="1.0" encoding="utf-8"?>
<comments xmlns="http://schemas.openxmlformats.org/spreadsheetml/2006/main">
  <authors>
    <author>PRESSMAN</author>
  </authors>
  <commentList>
    <comment ref="C25" authorId="0">
      <text>
        <r>
          <rPr>
            <b/>
            <sz val="8"/>
            <color indexed="81"/>
            <rFont val="Tahoma"/>
            <family val="2"/>
          </rPr>
          <t>Update based on actual and/or assumed usage</t>
        </r>
        <r>
          <rPr>
            <sz val="8"/>
            <color indexed="81"/>
            <rFont val="Tahoma"/>
            <family val="2"/>
          </rPr>
          <t xml:space="preserve">
</t>
        </r>
      </text>
    </comment>
  </commentList>
</comments>
</file>

<file path=xl/sharedStrings.xml><?xml version="1.0" encoding="utf-8"?>
<sst xmlns="http://schemas.openxmlformats.org/spreadsheetml/2006/main" count="1374" uniqueCount="418">
  <si>
    <t>Environmental Subtotal</t>
  </si>
  <si>
    <t>TBD</t>
  </si>
  <si>
    <t>Project Specific Criteria (to be listed prior to alternative evaluation)</t>
  </si>
  <si>
    <r>
      <t>Estimated eCO</t>
    </r>
    <r>
      <rPr>
        <vertAlign val="subscript"/>
        <sz val="14"/>
        <color indexed="8"/>
        <rFont val="Calibri"/>
        <family val="2"/>
      </rPr>
      <t xml:space="preserve">2 </t>
    </r>
    <r>
      <rPr>
        <sz val="14"/>
        <color indexed="8"/>
        <rFont val="Calibri"/>
        <family val="2"/>
      </rPr>
      <t>equivalent (MT eCO</t>
    </r>
    <r>
      <rPr>
        <vertAlign val="subscript"/>
        <sz val="14"/>
        <color indexed="8"/>
        <rFont val="Calibri"/>
        <family val="2"/>
      </rPr>
      <t>2</t>
    </r>
    <r>
      <rPr>
        <sz val="14"/>
        <color indexed="8"/>
        <rFont val="Calibri"/>
        <family val="2"/>
      </rPr>
      <t>/yr) in green house gases for direct combustion, direct process and indirect electricity</t>
    </r>
  </si>
  <si>
    <t>Carbon Footprint</t>
  </si>
  <si>
    <t>Risk associated with potential future cost to retrofit project to meet future mandates and regulations</t>
  </si>
  <si>
    <t xml:space="preserve">Local WQ: TSS </t>
  </si>
  <si>
    <t>Streambank Erosion Control: Discharge Volume</t>
  </si>
  <si>
    <t xml:space="preserve">Streambank Erosion Control: Velocity </t>
  </si>
  <si>
    <t>Total Possible</t>
  </si>
  <si>
    <t>Total</t>
  </si>
  <si>
    <t>Wt</t>
  </si>
  <si>
    <t>Score</t>
  </si>
  <si>
    <t>Score Criteria</t>
  </si>
  <si>
    <t>Value</t>
  </si>
  <si>
    <t>Description of Value</t>
  </si>
  <si>
    <t>Environmental Metric</t>
  </si>
  <si>
    <t>Social Subtotal</t>
  </si>
  <si>
    <t>Number of total labor hours estimated for construction project</t>
  </si>
  <si>
    <t xml:space="preserve">Percentage of CSO Volume Reduction </t>
  </si>
  <si>
    <t>(-3) = Negative Impact
zero = Not Applicable
1 = No change
2 = Slightly consistent
3 = Moderately consistent
4 - 5 = Highly consistent</t>
  </si>
  <si>
    <t xml:space="preserve">Downtown Revitalization </t>
  </si>
  <si>
    <t>Value for Alternative</t>
  </si>
  <si>
    <t>Social Metric</t>
  </si>
  <si>
    <t>Cost Subtotal</t>
  </si>
  <si>
    <t>Cost Metric</t>
  </si>
  <si>
    <t>Modeled number of remaining activations in typical year with implementation of alternative (act./Yr)</t>
  </si>
  <si>
    <t>Remaining CSO Activations</t>
  </si>
  <si>
    <t>Modeled number of activation reduction in typical year, compared to modeled existing conditions (act./Yr)</t>
  </si>
  <si>
    <t>CSO Activation Reduction</t>
  </si>
  <si>
    <t>Modeled reduction in CSO volume during typical year, compared to modeled existing conditions (MG Removed/yr)</t>
  </si>
  <si>
    <t>CSO Volume Reduction</t>
  </si>
  <si>
    <t>Capital cost and O&amp;M costs based on lifecycle methodology above</t>
  </si>
  <si>
    <t>Total Lifecycle Cost</t>
  </si>
  <si>
    <t>O&amp;M Lifecycle Cost</t>
  </si>
  <si>
    <t>Capital Cost estimates the design, admin, easement, construction, legal, and finance costs</t>
  </si>
  <si>
    <t>Capital Cost</t>
  </si>
  <si>
    <t>Project Name</t>
  </si>
  <si>
    <t>GREEN INFRASTRUCTURE EVALUATION SCORE CARD</t>
  </si>
  <si>
    <t>LONG TERM CONTROL PLAN PROGRAM MANAGEMENT</t>
  </si>
  <si>
    <t>CITY OF FORT WAYNE INDIANA</t>
  </si>
  <si>
    <t>Joint funding from different department(s) - Percentage of saving amount to/from another project as compared to overall project cost</t>
  </si>
  <si>
    <t>zero = Not applicable
1 = 0% to 2% Savings
2 = 3% to 4% Savings
3 = 5% to 9% Savings
4 = 10% to 15%  Savings
5 = &gt; 20% Savings</t>
  </si>
  <si>
    <t>Percent of project  funding from  partnerships with private entities, low interest loans or grants for Green Infrastructure as compared to overall project cost</t>
  </si>
  <si>
    <t>zero = Not applicable
1 = 0%  Funded
2 = 1% to 24% Funded
3 = 25% to 49% Funded
4 = 50% to 74%  Funded
5 = &gt; 75% Funded</t>
  </si>
  <si>
    <t>zero = Not applicable
1 = 1% to 4% Savings
2 = 5% to 9% Savings
3 = 10% to 14% Savings
4 = 15% to 19%  Savings
5 = &gt; 20% Savings</t>
  </si>
  <si>
    <t>Benefits of Street Scape Improvements</t>
  </si>
  <si>
    <t>Access to Scenic Features and Recreational Areas</t>
  </si>
  <si>
    <t>Job Creation on Capital Projects</t>
  </si>
  <si>
    <t xml:space="preserve">Reduction in  Street Flooding </t>
  </si>
  <si>
    <t xml:space="preserve">Reduction in Basement Flooding </t>
  </si>
  <si>
    <t>Capital Cost / Pound TSS Reduction</t>
  </si>
  <si>
    <t>Projected Savings - Joint Projects</t>
  </si>
  <si>
    <t>Other Funding Opportunities and/or Shared Resources</t>
  </si>
  <si>
    <t>Capital Cost / Gallon CSO Reduction</t>
  </si>
  <si>
    <t>Estimated percent reduction in volume of discharge flows to streams, as compared to existing conditions</t>
  </si>
  <si>
    <t>Flood Protection</t>
  </si>
  <si>
    <t>Estimated increase in flood fighting or flood protection for an area</t>
  </si>
  <si>
    <t xml:space="preserve">(-3) = Negative Impact
zero = Not Applicable
1 = No Change
2 = Slight Protection
3 = Mod. Protection
4 - 5 = High Protection  </t>
  </si>
  <si>
    <t>Increase in Biological diversity by increasing the number of native plant species.  Score criteria is number of native species added.</t>
  </si>
  <si>
    <t>(-3) = Negative Impact
zero = Not Applicable
1 = No change
2 = Slight Improvement
3 = Mod. Improvement
4 - 5 = High Improvement</t>
  </si>
  <si>
    <t>(-3) = Very High Risk
zero = Not Applicable           
1 = High Risk 
2 - 3 = Mod. Risk 
4 - 5 = Low Risk</t>
  </si>
  <si>
    <t>(-3) = &gt;100 MT/yr Increase
(-1) = 51 to 99 MT/yr Increase
Zero = Not Applicable
1 = 21 to 50 MT/yr Increase
2 = 0 to 20 MT/yr Increase
3 = 0 to 20 MT/yr Decrease
4 = 21 to 99 MT/yr Decrease
5 = &gt; 100 MT/yr Decrease</t>
  </si>
  <si>
    <t>Percentage of modeled reduction in CSO volume during typical year post-construction, compared to modeled existing (pre-constr.) conditions during typical year (%)</t>
  </si>
  <si>
    <t>O&amp;M Cost estimates the routine maintenance, routine operations, and larger maintenance costs for a period of 25 years assuming discount factor of 0%.</t>
  </si>
  <si>
    <t>Lifecycle O&amp;M Cost / Gallon CSO Reduction</t>
  </si>
  <si>
    <t>Use of Existing Assets</t>
  </si>
  <si>
    <t xml:space="preserve">(-3) = Extremely High Risk 
(-1) = Mod. High Risk
zero = Not Applicable
1 = High Risk 
2 - 3 = Mod. Risk 
4 - 5 = Low Risk </t>
  </si>
  <si>
    <t xml:space="preserve">Biological Diversity: Area of Vegetation </t>
  </si>
  <si>
    <t xml:space="preserve">Biological Diversity: Quality of Vegetation </t>
  </si>
  <si>
    <t>Investment Risk Against Mandates After CD</t>
  </si>
  <si>
    <t>Investment Risk Against New Stormwater Regulations</t>
  </si>
  <si>
    <t>Alternative No. 1</t>
  </si>
  <si>
    <t>CSO Volume Reduction (MG)</t>
  </si>
  <si>
    <t>Remaining CSO Activations (ea)</t>
  </si>
  <si>
    <t>Capital Cost/CSO Volume Reduction</t>
  </si>
  <si>
    <t>POSSIBLE</t>
  </si>
  <si>
    <t>TOTAL</t>
  </si>
  <si>
    <t>% ACHIEVED</t>
  </si>
  <si>
    <t>Cost Metric Subtotal</t>
  </si>
  <si>
    <t>Social Metric Subtotal</t>
  </si>
  <si>
    <t>Environmental Metric Subtotal</t>
  </si>
  <si>
    <t>ALTERNATIVE TOTAL</t>
  </si>
  <si>
    <t>Capital cost in 2010 dollars divided by the gallons of annual overflow reduction in a typical year.  Score criteria is based on the LTCP average cost of $0.37/gallon.</t>
  </si>
  <si>
    <t>(-3) = &gt; $1.00/gal
1 = $0.70 to $0.99/gal
2 =$0.49 to $0.69/gal
3 = $0.26 to $0.48/gal
4 = $0.16 to $0.25/gal
5 = &lt;$0.15/gal</t>
  </si>
  <si>
    <t>(-3) = &gt;$0.40/gal
1 = $0.31 to $0.40/gal
2 = $0.18 to $0.30/gal
3 = $0.11 to $.17/gal
4 = $0.06 to $0.10/gal
5 = &lt;$.06/gal</t>
  </si>
  <si>
    <t>O&amp;M lifecycle cost (25-year, 0% discount factor) in 2010 dollars divided by the gallons of CSO removed in a typical year.  Score criteria is based on the LTCP average cost of $0.14/gallon.</t>
  </si>
  <si>
    <t>1 = &gt; $1,300/lb
2 =$950 to $1,299/lb
3 = $677 to $949/lb
4 = $400 to $676/lb
5 = &lt; $399/lb</t>
  </si>
  <si>
    <t>Capital Cost in 2010 dollars divided by the pounds of TSS removed in a typical year.  Score criteria is based on an average cost of $813/lb</t>
  </si>
  <si>
    <t>1 = 0% to 35% Reduction
2 = 36% to 70% Reduction
3 = 71% to 85% Reduction
4 = 86% to 99% Reduction
5 = 100% (elimination)</t>
  </si>
  <si>
    <t>Zero = Not applicable
1 = &lt;10,000 hrs
2 = 11,000 to 24,000 hrs
3 = 25,000 to 34,000 hrs
4 = 35,000 to 50,000 hrs
5 = &gt;51,000 hrs</t>
  </si>
  <si>
    <t>Number of square feet (adjusted) of recreational area added, accessed, or improved</t>
  </si>
  <si>
    <t>Zero = Not applicable
1 = &lt;999 SF
2 = 1,000 to 4,999 SF
3 = 5,000 to 14,999 SF
4 = 15,000 to 24,999 SF
5 = &gt;25,000 SF</t>
  </si>
  <si>
    <t xml:space="preserve"> (-3) = Increased Velocity
zero = Not Applicable       
1 = 0% to 4% Reduction
2 = 5% to 9% Reduction
3 = 10% to 14% Reduction
4 = 15% to 19% Reduction
5 = &gt; 20%</t>
  </si>
  <si>
    <t xml:space="preserve"> (-3) = Decrease in Diversity
zero = Not Applicable       
1 = Non-Native Removal
2 = 3-5 Species Added
3 = 6-10 Species Added
4 =  11-15 Species Added
5 = &gt; 16 Species Added</t>
  </si>
  <si>
    <t xml:space="preserve"> (-3) =Decrease in Area
zero = Not applicable       
1 = 0% to .4% 
2 = .5% to .9% 
3 = 1% to 1.4% 
4 = 1.5% to 1.9% 
5 = &gt; 2.0%</t>
  </si>
  <si>
    <t>Percentage of project cost savings, from use of existing assets</t>
  </si>
  <si>
    <t>Improves aesthetics of street</t>
  </si>
  <si>
    <t>Addition of new vegetative area as a percentage of total sewershed area.</t>
  </si>
  <si>
    <t xml:space="preserve">Risk associated with potential future cost to retrofit project to meet future stormwater treatment regulations </t>
  </si>
  <si>
    <t xml:space="preserve">Alternative is consistent with the City's goals of Downtown revitalization as discussed in the Fort Wayne Downtown Design Manual </t>
  </si>
  <si>
    <t>Sewer Project</t>
  </si>
  <si>
    <t xml:space="preserve">Alternative No. </t>
  </si>
  <si>
    <t>Project Construction Fee:</t>
  </si>
  <si>
    <t>Division</t>
  </si>
  <si>
    <t>labor total</t>
  </si>
  <si>
    <t>material total</t>
  </si>
  <si>
    <t xml:space="preserve">% labor </t>
  </si>
  <si>
    <t xml:space="preserve"> % material</t>
  </si>
  <si>
    <t>Carpenters</t>
  </si>
  <si>
    <t>Millwrights</t>
  </si>
  <si>
    <t>Electricians</t>
  </si>
  <si>
    <t>Heavy Equipment Operators</t>
  </si>
  <si>
    <t>Ironworkers - reinforcing steel</t>
  </si>
  <si>
    <t>Laborers</t>
  </si>
  <si>
    <t>Masons</t>
  </si>
  <si>
    <t>Cement Masons (included w/ Masons)</t>
  </si>
  <si>
    <t>Plumbers</t>
  </si>
  <si>
    <t>Sheet Metal Workers</t>
  </si>
  <si>
    <t>Truck Drivers (included with Heavy Equip. Operators)</t>
  </si>
  <si>
    <t>Pipefitter</t>
  </si>
  <si>
    <t>Painter</t>
  </si>
  <si>
    <t>Specialty Labor</t>
  </si>
  <si>
    <t>Roofer</t>
  </si>
  <si>
    <t>Blended Rate</t>
  </si>
  <si>
    <t>Number of Hours</t>
  </si>
  <si>
    <t>Total Labor Rate</t>
  </si>
  <si>
    <t>Div. Labor Cost</t>
  </si>
  <si>
    <t xml:space="preserve">Percent Of The Crew </t>
  </si>
  <si>
    <t>sum</t>
  </si>
  <si>
    <t>COST</t>
  </si>
  <si>
    <t>HOURS</t>
  </si>
  <si>
    <t>Sewer Lining</t>
  </si>
  <si>
    <t>Pump Station</t>
  </si>
  <si>
    <t>Treatment Plant</t>
  </si>
  <si>
    <t>Sewer Project Percentages Template</t>
  </si>
  <si>
    <t>total project</t>
  </si>
  <si>
    <t>Background percentage Builders</t>
  </si>
  <si>
    <t>material tot</t>
  </si>
  <si>
    <t>Sewer Lining Project Percentages Template</t>
  </si>
  <si>
    <t>Pump Station Project Percentages Template</t>
  </si>
  <si>
    <t>Plant Project Percentages Template</t>
  </si>
  <si>
    <t>Electrical Crew</t>
  </si>
  <si>
    <t>Labor Rates (Indiana Wage and Hour Division, Allen County)</t>
  </si>
  <si>
    <t>Construction Type:</t>
  </si>
  <si>
    <t>Heavy</t>
  </si>
  <si>
    <t>Davis-Bacon Prevailing Rates
Cuyahoga County, OH</t>
  </si>
  <si>
    <t>Taxes &amp; Insurance</t>
  </si>
  <si>
    <t>OH&amp;P                  and Bond</t>
  </si>
  <si>
    <t>W/C Rate Ohio</t>
  </si>
  <si>
    <t>Labor Classification</t>
  </si>
  <si>
    <t xml:space="preserve">Rate </t>
  </si>
  <si>
    <t>Fringes</t>
  </si>
  <si>
    <t>(@ 25%)*</t>
  </si>
  <si>
    <t>(@ 20%)</t>
  </si>
  <si>
    <t>Brick Layer</t>
  </si>
  <si>
    <t>Cement Masons</t>
  </si>
  <si>
    <t>Truck Drivers</t>
  </si>
  <si>
    <t>*FICA ~ 7.65%, FUTA/SUTA ~ 1.4%, W/C Ohio ~ 14.8%; Total = 23.85%, rounded to 25% GC experience and actual ratings unknown</t>
  </si>
  <si>
    <t>Source: (1) RS Means 2009</t>
  </si>
  <si>
    <t>Where unavailable, 14.8 % Ohio Avg. used</t>
  </si>
  <si>
    <t>Approximate Average Combined Crew Rates</t>
  </si>
  <si>
    <t>Div 2</t>
  </si>
  <si>
    <t>Civil work (2 laborers, 2 operator, 1 fitter)</t>
  </si>
  <si>
    <t>Div 3</t>
  </si>
  <si>
    <t>Concrete work:form-strip ( 2 carpenters, 2 labors, 1 operator, 1 finisher)</t>
  </si>
  <si>
    <t>Steel Erection (Ironworker)</t>
  </si>
  <si>
    <t>Div 4</t>
  </si>
  <si>
    <t>Masonry (3 brick layers, 2 laborers)</t>
  </si>
  <si>
    <t>Div 5, 6, 7, 8, &amp; 10</t>
  </si>
  <si>
    <t>Buidling Finishes (Carpenter )</t>
  </si>
  <si>
    <t>Div 7 Roofing</t>
  </si>
  <si>
    <t>`</t>
  </si>
  <si>
    <t>Div 9</t>
  </si>
  <si>
    <t xml:space="preserve"> Painter ( plus other finishes)</t>
  </si>
  <si>
    <t>Div 11</t>
  </si>
  <si>
    <t>Other equipment (2 millwrights, 1 apprentice, 1 operator)</t>
  </si>
  <si>
    <t>Div 13 &amp; 16</t>
  </si>
  <si>
    <t>Electrical work (3 electricians, 1 apprentice)</t>
  </si>
  <si>
    <t>Div 15  Mech</t>
  </si>
  <si>
    <t>Process mech (2 fitters, 1 labor, 1 operator)</t>
  </si>
  <si>
    <t>Div 15 HVAC</t>
  </si>
  <si>
    <t>Sheetmetal work (3 shtmetal work, 1 apprentice)</t>
  </si>
  <si>
    <t>Div 10 &amp; 15 Plumb</t>
  </si>
  <si>
    <t>Plumbing work (3 plumber, 1 apprentice)</t>
  </si>
  <si>
    <t>Name:</t>
  </si>
  <si>
    <t>Year:</t>
  </si>
  <si>
    <t>Estimated GHG Emissions</t>
  </si>
  <si>
    <r>
      <t>(MT CO</t>
    </r>
    <r>
      <rPr>
        <vertAlign val="subscript"/>
        <sz val="11"/>
        <color indexed="8"/>
        <rFont val="Calibri"/>
        <family val="2"/>
      </rPr>
      <t>2</t>
    </r>
    <r>
      <rPr>
        <sz val="11"/>
        <color theme="1"/>
        <rFont val="Calibri"/>
        <family val="2"/>
        <scheme val="minor"/>
      </rPr>
      <t>e / Year)</t>
    </r>
  </si>
  <si>
    <t>Scope 1 Direct Emissions</t>
  </si>
  <si>
    <t>Stationary Combustion</t>
  </si>
  <si>
    <t>Mobile Combustion</t>
  </si>
  <si>
    <t xml:space="preserve">   - Solids Transport Trucks</t>
  </si>
  <si>
    <t xml:space="preserve">   - General Purpose Vehicles</t>
  </si>
  <si>
    <t>Process &amp; Effluent Emissions</t>
  </si>
  <si>
    <r>
      <t xml:space="preserve">   - N</t>
    </r>
    <r>
      <rPr>
        <vertAlign val="subscript"/>
        <sz val="11"/>
        <color indexed="8"/>
        <rFont val="Calibri"/>
        <family val="2"/>
      </rPr>
      <t>2</t>
    </r>
    <r>
      <rPr>
        <sz val="11"/>
        <color theme="1"/>
        <rFont val="Calibri"/>
        <family val="2"/>
        <scheme val="minor"/>
      </rPr>
      <t>O</t>
    </r>
  </si>
  <si>
    <t>SUBTOTAL (Scope 1)</t>
  </si>
  <si>
    <t>Scope 2 Indirect Emissions</t>
  </si>
  <si>
    <t>Purchased Electricity</t>
  </si>
  <si>
    <t>(the UV disinfection @ Eastern &amp; Western Regional will cause the MT CO2 / Total 2009 Influent for purchased electricity to be higher than at Dry Creek</t>
  </si>
  <si>
    <t>TOTAL (Scope 1 + Scope 2)</t>
  </si>
  <si>
    <t>Stationary Fuel Combustion</t>
  </si>
  <si>
    <t>Year</t>
  </si>
  <si>
    <t>Amount</t>
  </si>
  <si>
    <r>
      <t>CO</t>
    </r>
    <r>
      <rPr>
        <vertAlign val="subscript"/>
        <sz val="11"/>
        <color indexed="8"/>
        <rFont val="Calibri"/>
        <family val="2"/>
      </rPr>
      <t>2</t>
    </r>
    <r>
      <rPr>
        <sz val="11"/>
        <color theme="1"/>
        <rFont val="Calibri"/>
        <family val="2"/>
        <scheme val="minor"/>
      </rPr>
      <t>e</t>
    </r>
  </si>
  <si>
    <t>Cells to complete</t>
  </si>
  <si>
    <t>of Record</t>
  </si>
  <si>
    <t>Type of Fuel</t>
  </si>
  <si>
    <t>Name of Fuel</t>
  </si>
  <si>
    <t>(Gallons)</t>
  </si>
  <si>
    <r>
      <t>(MT CO</t>
    </r>
    <r>
      <rPr>
        <vertAlign val="subscript"/>
        <sz val="11"/>
        <color indexed="8"/>
        <rFont val="Calibri"/>
        <family val="2"/>
      </rPr>
      <t>2</t>
    </r>
    <r>
      <rPr>
        <sz val="11"/>
        <color theme="1"/>
        <rFont val="Calibri"/>
        <family val="2"/>
        <scheme val="minor"/>
      </rPr>
      <t xml:space="preserve"> / Gallon)</t>
    </r>
  </si>
  <si>
    <r>
      <t>MT CO</t>
    </r>
    <r>
      <rPr>
        <b/>
        <vertAlign val="subscript"/>
        <sz val="11"/>
        <color indexed="8"/>
        <rFont val="Calibri"/>
        <family val="2"/>
      </rPr>
      <t>2</t>
    </r>
    <r>
      <rPr>
        <b/>
        <sz val="11"/>
        <color indexed="8"/>
        <rFont val="Calibri"/>
        <family val="2"/>
      </rPr>
      <t>e</t>
    </r>
  </si>
  <si>
    <t>Petroleum Product</t>
  </si>
  <si>
    <t>Fuel Oil</t>
  </si>
  <si>
    <r>
      <t>Total MT CO</t>
    </r>
    <r>
      <rPr>
        <b/>
        <vertAlign val="subscript"/>
        <sz val="11"/>
        <color indexed="8"/>
        <rFont val="Calibri"/>
        <family val="2"/>
      </rPr>
      <t>2</t>
    </r>
    <r>
      <rPr>
        <b/>
        <sz val="11"/>
        <color indexed="8"/>
        <rFont val="Calibri"/>
        <family val="2"/>
      </rPr>
      <t>e for Stationary Combustion 2009</t>
    </r>
  </si>
  <si>
    <t>Mobile Fuel Combustion</t>
  </si>
  <si>
    <t>General Purpose Vehicles</t>
  </si>
  <si>
    <t xml:space="preserve">Vehicle </t>
  </si>
  <si>
    <t xml:space="preserve">2009 Distance </t>
  </si>
  <si>
    <t>Fuel Type</t>
  </si>
  <si>
    <t>Number</t>
  </si>
  <si>
    <t>Model</t>
  </si>
  <si>
    <t>Traveled (Miles)</t>
  </si>
  <si>
    <r>
      <t>(MT CO</t>
    </r>
    <r>
      <rPr>
        <vertAlign val="subscript"/>
        <sz val="11"/>
        <color indexed="8"/>
        <rFont val="Calibri"/>
        <family val="2"/>
      </rPr>
      <t>2</t>
    </r>
    <r>
      <rPr>
        <sz val="11"/>
        <color theme="1"/>
        <rFont val="Calibri"/>
        <family val="2"/>
        <scheme val="minor"/>
      </rPr>
      <t xml:space="preserve"> / Mile)</t>
    </r>
  </si>
  <si>
    <r>
      <t>MT CO</t>
    </r>
    <r>
      <rPr>
        <vertAlign val="subscript"/>
        <sz val="11"/>
        <color indexed="8"/>
        <rFont val="Calibri"/>
        <family val="2"/>
      </rPr>
      <t>2</t>
    </r>
    <r>
      <rPr>
        <sz val="11"/>
        <color theme="1"/>
        <rFont val="Calibri"/>
        <family val="2"/>
        <scheme val="minor"/>
      </rPr>
      <t>e</t>
    </r>
  </si>
  <si>
    <t>gas</t>
  </si>
  <si>
    <t>Van</t>
  </si>
  <si>
    <t>diesel</t>
  </si>
  <si>
    <t>Tanker</t>
  </si>
  <si>
    <r>
      <t>Total MT CO</t>
    </r>
    <r>
      <rPr>
        <b/>
        <vertAlign val="subscript"/>
        <sz val="11"/>
        <color indexed="8"/>
        <rFont val="Calibri"/>
        <family val="2"/>
      </rPr>
      <t>2</t>
    </r>
    <r>
      <rPr>
        <b/>
        <sz val="11"/>
        <color indexed="8"/>
        <rFont val="Calibri"/>
        <family val="2"/>
      </rPr>
      <t>e for Mobile Combustion</t>
    </r>
  </si>
  <si>
    <t>Solids Transport Trucks</t>
  </si>
  <si>
    <t>Truck</t>
  </si>
  <si>
    <r>
      <t>Existing or Alternative Total N</t>
    </r>
    <r>
      <rPr>
        <b/>
        <u/>
        <vertAlign val="subscript"/>
        <sz val="14"/>
        <color indexed="8"/>
        <rFont val="Calibri"/>
        <family val="2"/>
      </rPr>
      <t>2</t>
    </r>
    <r>
      <rPr>
        <b/>
        <u/>
        <sz val="14"/>
        <color indexed="8"/>
        <rFont val="Calibri"/>
        <family val="2"/>
      </rPr>
      <t>O Emissions from Domestic Wastewater</t>
    </r>
  </si>
  <si>
    <r>
      <t>N</t>
    </r>
    <r>
      <rPr>
        <b/>
        <vertAlign val="subscript"/>
        <sz val="14"/>
        <color indexed="8"/>
        <rFont val="Calibri"/>
        <family val="2"/>
      </rPr>
      <t>2</t>
    </r>
    <r>
      <rPr>
        <b/>
        <sz val="14"/>
        <color indexed="8"/>
        <rFont val="Calibri"/>
        <family val="2"/>
      </rPr>
      <t>O</t>
    </r>
    <r>
      <rPr>
        <b/>
        <vertAlign val="subscript"/>
        <sz val="14"/>
        <color indexed="8"/>
        <rFont val="Calibri"/>
        <family val="2"/>
      </rPr>
      <t>PLANTS</t>
    </r>
    <r>
      <rPr>
        <b/>
        <sz val="14"/>
        <color indexed="8"/>
        <rFont val="Calibri"/>
        <family val="2"/>
      </rPr>
      <t xml:space="preserve"> = P x T</t>
    </r>
    <r>
      <rPr>
        <b/>
        <vertAlign val="subscript"/>
        <sz val="14"/>
        <color indexed="8"/>
        <rFont val="Calibri"/>
        <family val="2"/>
      </rPr>
      <t>PLANT</t>
    </r>
    <r>
      <rPr>
        <b/>
        <sz val="14"/>
        <color indexed="8"/>
        <rFont val="Calibri"/>
        <family val="2"/>
      </rPr>
      <t xml:space="preserve"> x F</t>
    </r>
    <r>
      <rPr>
        <b/>
        <vertAlign val="subscript"/>
        <sz val="14"/>
        <color indexed="8"/>
        <rFont val="Calibri"/>
        <family val="2"/>
      </rPr>
      <t>IND-COM</t>
    </r>
    <r>
      <rPr>
        <b/>
        <sz val="14"/>
        <color indexed="8"/>
        <rFont val="Calibri"/>
        <family val="2"/>
      </rPr>
      <t xml:space="preserve"> x EF</t>
    </r>
    <r>
      <rPr>
        <b/>
        <vertAlign val="subscript"/>
        <sz val="14"/>
        <color indexed="8"/>
        <rFont val="Calibri"/>
        <family val="2"/>
      </rPr>
      <t>PLANT</t>
    </r>
  </si>
  <si>
    <t>Equation 6.9 "N2O Emission From Centralized Wastewater Treatment Processes" page 6.26, 2006 IPCC Guidelines for National Greenhouse Gas Inventories</t>
  </si>
  <si>
    <t>Existing conditions or alternative for the sewershed does not include nitrification, therefore zero emissions.</t>
  </si>
  <si>
    <r>
      <t>N</t>
    </r>
    <r>
      <rPr>
        <vertAlign val="subscript"/>
        <sz val="11"/>
        <color indexed="8"/>
        <rFont val="Calibri"/>
        <family val="2"/>
      </rPr>
      <t>2</t>
    </r>
    <r>
      <rPr>
        <sz val="11"/>
        <color theme="1"/>
        <rFont val="Calibri"/>
        <family val="2"/>
        <scheme val="minor"/>
      </rPr>
      <t>O</t>
    </r>
    <r>
      <rPr>
        <vertAlign val="subscript"/>
        <sz val="11"/>
        <color indexed="8"/>
        <rFont val="Calibri"/>
        <family val="2"/>
      </rPr>
      <t>PLANTS</t>
    </r>
    <r>
      <rPr>
        <sz val="11"/>
        <color theme="1"/>
        <rFont val="Calibri"/>
        <family val="2"/>
        <scheme val="minor"/>
      </rPr>
      <t xml:space="preserve"> (kg N</t>
    </r>
    <r>
      <rPr>
        <vertAlign val="subscript"/>
        <sz val="11"/>
        <color indexed="8"/>
        <rFont val="Calibri"/>
        <family val="2"/>
      </rPr>
      <t>2</t>
    </r>
    <r>
      <rPr>
        <sz val="11"/>
        <color theme="1"/>
        <rFont val="Calibri"/>
        <family val="2"/>
        <scheme val="minor"/>
      </rPr>
      <t xml:space="preserve">O/person/year) = </t>
    </r>
  </si>
  <si>
    <r>
      <t>kg N</t>
    </r>
    <r>
      <rPr>
        <vertAlign val="subscript"/>
        <sz val="11"/>
        <color indexed="8"/>
        <rFont val="Calibri"/>
        <family val="2"/>
      </rPr>
      <t>2</t>
    </r>
    <r>
      <rPr>
        <sz val="11"/>
        <color theme="1"/>
        <rFont val="Calibri"/>
        <family val="2"/>
        <scheme val="minor"/>
      </rPr>
      <t>O/year</t>
    </r>
  </si>
  <si>
    <r>
      <t>N</t>
    </r>
    <r>
      <rPr>
        <vertAlign val="subscript"/>
        <sz val="11"/>
        <color indexed="8"/>
        <rFont val="Calibri"/>
        <family val="2"/>
      </rPr>
      <t>2</t>
    </r>
    <r>
      <rPr>
        <sz val="11"/>
        <color theme="1"/>
        <rFont val="Calibri"/>
        <family val="2"/>
        <scheme val="minor"/>
      </rPr>
      <t>O Global Warming Potential</t>
    </r>
  </si>
  <si>
    <t>AR4 GWP-100 for N2O</t>
  </si>
  <si>
    <r>
      <t>MT CO</t>
    </r>
    <r>
      <rPr>
        <b/>
        <vertAlign val="subscript"/>
        <sz val="14"/>
        <color indexed="8"/>
        <rFont val="Calibri"/>
        <family val="2"/>
      </rPr>
      <t>2</t>
    </r>
    <r>
      <rPr>
        <b/>
        <sz val="14"/>
        <color indexed="8"/>
        <rFont val="Calibri"/>
        <family val="2"/>
      </rPr>
      <t>e</t>
    </r>
  </si>
  <si>
    <r>
      <t>N</t>
    </r>
    <r>
      <rPr>
        <b/>
        <vertAlign val="subscript"/>
        <sz val="14"/>
        <color indexed="8"/>
        <rFont val="Calibri"/>
        <family val="2"/>
      </rPr>
      <t>EFFLUENT</t>
    </r>
    <r>
      <rPr>
        <b/>
        <sz val="14"/>
        <color indexed="8"/>
        <rFont val="Calibri"/>
        <family val="2"/>
      </rPr>
      <t xml:space="preserve"> = (P x Protein x F</t>
    </r>
    <r>
      <rPr>
        <b/>
        <vertAlign val="subscript"/>
        <sz val="14"/>
        <color indexed="8"/>
        <rFont val="Calibri"/>
        <family val="2"/>
      </rPr>
      <t>NPR</t>
    </r>
    <r>
      <rPr>
        <b/>
        <sz val="14"/>
        <color indexed="8"/>
        <rFont val="Calibri"/>
        <family val="2"/>
      </rPr>
      <t xml:space="preserve"> x F</t>
    </r>
    <r>
      <rPr>
        <b/>
        <vertAlign val="subscript"/>
        <sz val="14"/>
        <color indexed="8"/>
        <rFont val="Calibri"/>
        <family val="2"/>
      </rPr>
      <t>NON-CON</t>
    </r>
    <r>
      <rPr>
        <b/>
        <sz val="14"/>
        <color indexed="8"/>
        <rFont val="Calibri"/>
        <family val="2"/>
      </rPr>
      <t xml:space="preserve"> x F</t>
    </r>
    <r>
      <rPr>
        <b/>
        <vertAlign val="subscript"/>
        <sz val="14"/>
        <color indexed="8"/>
        <rFont val="Calibri"/>
        <family val="2"/>
      </rPr>
      <t>IND-COM</t>
    </r>
    <r>
      <rPr>
        <b/>
        <sz val="14"/>
        <color indexed="8"/>
        <rFont val="Calibri"/>
        <family val="2"/>
      </rPr>
      <t>) - N</t>
    </r>
    <r>
      <rPr>
        <b/>
        <vertAlign val="subscript"/>
        <sz val="14"/>
        <color indexed="8"/>
        <rFont val="Calibri"/>
        <family val="2"/>
      </rPr>
      <t xml:space="preserve">SLUDGE - </t>
    </r>
    <r>
      <rPr>
        <b/>
        <sz val="14"/>
        <color indexed="8"/>
        <rFont val="Calibri"/>
        <family val="2"/>
      </rPr>
      <t>N</t>
    </r>
    <r>
      <rPr>
        <b/>
        <vertAlign val="subscript"/>
        <sz val="14"/>
        <color indexed="8"/>
        <rFont val="Calibri"/>
        <family val="2"/>
      </rPr>
      <t>WWT</t>
    </r>
  </si>
  <si>
    <t>Equation 6.8 "Total Nitrogen In the Effluent" page 6.25, 2006 IPCC Guidelines for National Greenhouse Gas Inventories</t>
  </si>
  <si>
    <t>P = Population within the service area</t>
  </si>
  <si>
    <t>Protein = Annual per capita protein consumption</t>
  </si>
  <si>
    <t>kg/person/year</t>
  </si>
  <si>
    <t>Protein per capita per day</t>
  </si>
  <si>
    <t>g/person/day, "Current Protein intake in America: Analysis of the National Health and Nutrition Examination Survey, 2003-2004"</t>
  </si>
  <si>
    <r>
      <t>F</t>
    </r>
    <r>
      <rPr>
        <vertAlign val="subscript"/>
        <sz val="11"/>
        <color indexed="8"/>
        <rFont val="Calibri"/>
        <family val="2"/>
      </rPr>
      <t>NRP</t>
    </r>
    <r>
      <rPr>
        <sz val="11"/>
        <color theme="1"/>
        <rFont val="Calibri"/>
        <family val="2"/>
        <scheme val="minor"/>
      </rPr>
      <t xml:space="preserve"> = fraction of nitrogen in protein (kg N / kg protein)</t>
    </r>
  </si>
  <si>
    <t xml:space="preserve"> kg N/kg protein, default as described in Table 6.11 on page 6.27 of the 2006 IPCC Guidelines for National Greenhouse Gas Inventories</t>
  </si>
  <si>
    <r>
      <t>F</t>
    </r>
    <r>
      <rPr>
        <vertAlign val="subscript"/>
        <sz val="11"/>
        <color indexed="8"/>
        <rFont val="Calibri"/>
        <family val="2"/>
      </rPr>
      <t>NON-CON</t>
    </r>
    <r>
      <rPr>
        <sz val="11"/>
        <color theme="1"/>
        <rFont val="Calibri"/>
        <family val="2"/>
        <scheme val="minor"/>
      </rPr>
      <t xml:space="preserve"> = factor for non-consumed protein added to the wastewater</t>
    </r>
  </si>
  <si>
    <t>Default as described in Table 6.11 on page 6.27 of the 2006 IPCC Guidelines for National Greenhouse Gas Inventories</t>
  </si>
  <si>
    <r>
      <t>F</t>
    </r>
    <r>
      <rPr>
        <vertAlign val="subscript"/>
        <sz val="11"/>
        <color indexed="8"/>
        <rFont val="Calibri"/>
        <family val="2"/>
      </rPr>
      <t>IND-COM</t>
    </r>
    <r>
      <rPr>
        <sz val="11"/>
        <color theme="1"/>
        <rFont val="Calibri"/>
        <family val="2"/>
        <scheme val="minor"/>
      </rPr>
      <t xml:space="preserve"> = factor for industrial and commercial co-discharged protein into the sewer system</t>
    </r>
  </si>
  <si>
    <r>
      <t>N</t>
    </r>
    <r>
      <rPr>
        <vertAlign val="subscript"/>
        <sz val="11"/>
        <color indexed="8"/>
        <rFont val="Calibri"/>
        <family val="2"/>
      </rPr>
      <t>SLUDGE</t>
    </r>
    <r>
      <rPr>
        <sz val="11"/>
        <color theme="1"/>
        <rFont val="Calibri"/>
        <family val="2"/>
        <scheme val="minor"/>
      </rPr>
      <t xml:space="preserve"> = nitrogen removed with sludge (kg N/yr)</t>
    </r>
  </si>
  <si>
    <t>IPCC Default = 0</t>
  </si>
  <si>
    <r>
      <t>N</t>
    </r>
    <r>
      <rPr>
        <vertAlign val="subscript"/>
        <sz val="11"/>
        <color indexed="8"/>
        <rFont val="Calibri"/>
        <family val="2"/>
      </rPr>
      <t>wwt</t>
    </r>
    <r>
      <rPr>
        <sz val="11"/>
        <color theme="1"/>
        <rFont val="Calibri"/>
        <family val="2"/>
        <scheme val="minor"/>
      </rPr>
      <t xml:space="preserve"> = N</t>
    </r>
    <r>
      <rPr>
        <vertAlign val="subscript"/>
        <sz val="11"/>
        <color indexed="8"/>
        <rFont val="Calibri"/>
        <family val="2"/>
      </rPr>
      <t>2</t>
    </r>
    <r>
      <rPr>
        <sz val="11"/>
        <color theme="1"/>
        <rFont val="Calibri"/>
        <family val="2"/>
        <scheme val="minor"/>
      </rPr>
      <t>O plant emisions in the form of nitrogen</t>
    </r>
  </si>
  <si>
    <r>
      <t>kg N/yr calculated as ([kg N</t>
    </r>
    <r>
      <rPr>
        <vertAlign val="subscript"/>
        <sz val="11"/>
        <color indexed="8"/>
        <rFont val="Calibri"/>
        <family val="2"/>
      </rPr>
      <t>2</t>
    </r>
    <r>
      <rPr>
        <sz val="11"/>
        <color theme="1"/>
        <rFont val="Calibri"/>
        <family val="2"/>
        <scheme val="minor"/>
      </rPr>
      <t>O/yr from plant processes] * [28/44])</t>
    </r>
  </si>
  <si>
    <r>
      <t>N</t>
    </r>
    <r>
      <rPr>
        <vertAlign val="subscript"/>
        <sz val="11"/>
        <color indexed="8"/>
        <rFont val="Calibri"/>
        <family val="2"/>
      </rPr>
      <t>EFFLUENT</t>
    </r>
    <r>
      <rPr>
        <sz val="11"/>
        <color theme="1"/>
        <rFont val="Calibri"/>
        <family val="2"/>
        <scheme val="minor"/>
      </rPr>
      <t xml:space="preserve"> = </t>
    </r>
  </si>
  <si>
    <t>kg N/yr</t>
  </si>
  <si>
    <r>
      <t>EF</t>
    </r>
    <r>
      <rPr>
        <b/>
        <vertAlign val="subscript"/>
        <sz val="11"/>
        <color indexed="8"/>
        <rFont val="Calibri"/>
        <family val="2"/>
      </rPr>
      <t>EFFLUENT</t>
    </r>
  </si>
  <si>
    <r>
      <t>EF</t>
    </r>
    <r>
      <rPr>
        <vertAlign val="subscript"/>
        <sz val="11"/>
        <color indexed="8"/>
        <rFont val="Calibri"/>
        <family val="2"/>
      </rPr>
      <t>EFFLUENT</t>
    </r>
    <r>
      <rPr>
        <sz val="11"/>
        <color theme="1"/>
        <rFont val="Calibri"/>
        <family val="2"/>
        <scheme val="minor"/>
      </rPr>
      <t xml:space="preserve"> = Emission factor (kg N</t>
    </r>
    <r>
      <rPr>
        <vertAlign val="subscript"/>
        <sz val="11"/>
        <color indexed="8"/>
        <rFont val="Calibri"/>
        <family val="2"/>
      </rPr>
      <t>2</t>
    </r>
    <r>
      <rPr>
        <sz val="11"/>
        <color theme="1"/>
        <rFont val="Calibri"/>
        <family val="2"/>
        <scheme val="minor"/>
      </rPr>
      <t>O-N / kg-N)</t>
    </r>
  </si>
  <si>
    <t>Default as described in paragraph 6.3.1.2 on page 6.25 of the 2006 IPCC Guidelines for National Greenhouse Gas Inventories</t>
  </si>
  <si>
    <r>
      <t>N</t>
    </r>
    <r>
      <rPr>
        <b/>
        <vertAlign val="subscript"/>
        <sz val="14"/>
        <color indexed="8"/>
        <rFont val="Calibri"/>
        <family val="2"/>
      </rPr>
      <t>2</t>
    </r>
    <r>
      <rPr>
        <b/>
        <sz val="14"/>
        <color indexed="8"/>
        <rFont val="Calibri"/>
        <family val="2"/>
      </rPr>
      <t>O Emissions = N</t>
    </r>
    <r>
      <rPr>
        <b/>
        <vertAlign val="subscript"/>
        <sz val="14"/>
        <color indexed="8"/>
        <rFont val="Calibri"/>
        <family val="2"/>
      </rPr>
      <t>EFFLUENT</t>
    </r>
    <r>
      <rPr>
        <b/>
        <sz val="14"/>
        <color indexed="8"/>
        <rFont val="Calibri"/>
        <family val="2"/>
      </rPr>
      <t xml:space="preserve"> x EF</t>
    </r>
    <r>
      <rPr>
        <b/>
        <vertAlign val="subscript"/>
        <sz val="14"/>
        <color indexed="8"/>
        <rFont val="Calibri"/>
        <family val="2"/>
      </rPr>
      <t>EFFLUENT</t>
    </r>
    <r>
      <rPr>
        <b/>
        <sz val="14"/>
        <color indexed="8"/>
        <rFont val="Calibri"/>
        <family val="2"/>
      </rPr>
      <t xml:space="preserve"> x 44/28</t>
    </r>
  </si>
  <si>
    <r>
      <t>N</t>
    </r>
    <r>
      <rPr>
        <vertAlign val="subscript"/>
        <sz val="11"/>
        <color indexed="8"/>
        <rFont val="Calibri"/>
        <family val="2"/>
      </rPr>
      <t>EFFLUENT</t>
    </r>
    <r>
      <rPr>
        <sz val="11"/>
        <color theme="1"/>
        <rFont val="Calibri"/>
        <family val="2"/>
        <scheme val="minor"/>
      </rPr>
      <t xml:space="preserve"> (kg N/yr)</t>
    </r>
  </si>
  <si>
    <r>
      <t>kg N/yr From  N</t>
    </r>
    <r>
      <rPr>
        <vertAlign val="subscript"/>
        <sz val="11"/>
        <color indexed="8"/>
        <rFont val="Calibri"/>
        <family val="2"/>
      </rPr>
      <t>EFFLUENT</t>
    </r>
    <r>
      <rPr>
        <sz val="11"/>
        <color theme="1"/>
        <rFont val="Calibri"/>
        <family val="2"/>
        <scheme val="minor"/>
      </rPr>
      <t xml:space="preserve"> above</t>
    </r>
  </si>
  <si>
    <r>
      <t>EF</t>
    </r>
    <r>
      <rPr>
        <vertAlign val="subscript"/>
        <sz val="11"/>
        <color indexed="8"/>
        <rFont val="Calibri"/>
        <family val="2"/>
      </rPr>
      <t>EFFLUENT</t>
    </r>
    <r>
      <rPr>
        <sz val="11"/>
        <color theme="1"/>
        <rFont val="Calibri"/>
        <family val="2"/>
        <scheme val="minor"/>
      </rPr>
      <t xml:space="preserve"> (kg N</t>
    </r>
    <r>
      <rPr>
        <vertAlign val="subscript"/>
        <sz val="11"/>
        <color indexed="8"/>
        <rFont val="Calibri"/>
        <family val="2"/>
      </rPr>
      <t>2</t>
    </r>
    <r>
      <rPr>
        <sz val="11"/>
        <color theme="1"/>
        <rFont val="Calibri"/>
        <family val="2"/>
        <scheme val="minor"/>
      </rPr>
      <t>O-N / kg-N)</t>
    </r>
  </si>
  <si>
    <r>
      <t>(kg N</t>
    </r>
    <r>
      <rPr>
        <vertAlign val="subscript"/>
        <sz val="11"/>
        <color indexed="8"/>
        <rFont val="Calibri"/>
        <family val="2"/>
      </rPr>
      <t>2</t>
    </r>
    <r>
      <rPr>
        <sz val="11"/>
        <color theme="1"/>
        <rFont val="Calibri"/>
        <family val="2"/>
        <scheme val="minor"/>
      </rPr>
      <t>O-N / kg-N) From EF</t>
    </r>
    <r>
      <rPr>
        <vertAlign val="subscript"/>
        <sz val="11"/>
        <color indexed="8"/>
        <rFont val="Calibri"/>
        <family val="2"/>
      </rPr>
      <t>EFFLUENT</t>
    </r>
    <r>
      <rPr>
        <sz val="11"/>
        <color theme="1"/>
        <rFont val="Calibri"/>
        <family val="2"/>
        <scheme val="minor"/>
      </rPr>
      <t xml:space="preserve"> above</t>
    </r>
  </si>
  <si>
    <r>
      <t>44/28 = Conversion of kg N</t>
    </r>
    <r>
      <rPr>
        <vertAlign val="subscript"/>
        <sz val="11"/>
        <color indexed="8"/>
        <rFont val="Calibri"/>
        <family val="2"/>
      </rPr>
      <t>2</t>
    </r>
    <r>
      <rPr>
        <sz val="11"/>
        <color theme="1"/>
        <rFont val="Calibri"/>
        <family val="2"/>
        <scheme val="minor"/>
      </rPr>
      <t>O-N / kg-N into N</t>
    </r>
    <r>
      <rPr>
        <vertAlign val="subscript"/>
        <sz val="11"/>
        <color indexed="8"/>
        <rFont val="Calibri"/>
        <family val="2"/>
      </rPr>
      <t>2</t>
    </r>
    <r>
      <rPr>
        <sz val="11"/>
        <color theme="1"/>
        <rFont val="Calibri"/>
        <family val="2"/>
        <scheme val="minor"/>
      </rPr>
      <t>O</t>
    </r>
  </si>
  <si>
    <r>
      <t>N</t>
    </r>
    <r>
      <rPr>
        <vertAlign val="subscript"/>
        <sz val="11"/>
        <color indexed="8"/>
        <rFont val="Calibri"/>
        <family val="2"/>
      </rPr>
      <t>2</t>
    </r>
    <r>
      <rPr>
        <sz val="11"/>
        <color theme="1"/>
        <rFont val="Calibri"/>
        <family val="2"/>
        <scheme val="minor"/>
      </rPr>
      <t xml:space="preserve">O Emissions = </t>
    </r>
  </si>
  <si>
    <r>
      <t>kg N</t>
    </r>
    <r>
      <rPr>
        <vertAlign val="subscript"/>
        <sz val="11"/>
        <color indexed="8"/>
        <rFont val="Calibri"/>
        <family val="2"/>
      </rPr>
      <t>2</t>
    </r>
    <r>
      <rPr>
        <sz val="11"/>
        <color theme="1"/>
        <rFont val="Calibri"/>
        <family val="2"/>
        <scheme val="minor"/>
      </rPr>
      <t>O/yr</t>
    </r>
  </si>
  <si>
    <r>
      <t>Total MT CO</t>
    </r>
    <r>
      <rPr>
        <b/>
        <vertAlign val="subscript"/>
        <sz val="14"/>
        <color indexed="8"/>
        <rFont val="Calibri"/>
        <family val="2"/>
      </rPr>
      <t>2</t>
    </r>
    <r>
      <rPr>
        <b/>
        <sz val="14"/>
        <color indexed="8"/>
        <rFont val="Calibri"/>
        <family val="2"/>
      </rPr>
      <t>e = MT CO</t>
    </r>
    <r>
      <rPr>
        <b/>
        <vertAlign val="subscript"/>
        <sz val="14"/>
        <color indexed="8"/>
        <rFont val="Calibri"/>
        <family val="2"/>
      </rPr>
      <t>2</t>
    </r>
    <r>
      <rPr>
        <b/>
        <sz val="14"/>
        <color indexed="8"/>
        <rFont val="Calibri"/>
        <family val="2"/>
      </rPr>
      <t>e N</t>
    </r>
    <r>
      <rPr>
        <b/>
        <vertAlign val="subscript"/>
        <sz val="14"/>
        <color indexed="8"/>
        <rFont val="Calibri"/>
        <family val="2"/>
      </rPr>
      <t>PLANT</t>
    </r>
    <r>
      <rPr>
        <b/>
        <sz val="14"/>
        <color indexed="8"/>
        <rFont val="Calibri"/>
        <family val="2"/>
      </rPr>
      <t xml:space="preserve"> + MT CO</t>
    </r>
    <r>
      <rPr>
        <b/>
        <vertAlign val="subscript"/>
        <sz val="14"/>
        <color indexed="8"/>
        <rFont val="Calibri"/>
        <family val="2"/>
      </rPr>
      <t>2</t>
    </r>
    <r>
      <rPr>
        <b/>
        <sz val="14"/>
        <color indexed="8"/>
        <rFont val="Calibri"/>
        <family val="2"/>
      </rPr>
      <t>e N</t>
    </r>
    <r>
      <rPr>
        <b/>
        <vertAlign val="subscript"/>
        <sz val="14"/>
        <color indexed="8"/>
        <rFont val="Calibri"/>
        <family val="2"/>
      </rPr>
      <t>2</t>
    </r>
    <r>
      <rPr>
        <b/>
        <sz val="14"/>
        <color indexed="8"/>
        <rFont val="Calibri"/>
        <family val="2"/>
      </rPr>
      <t>O Emissions</t>
    </r>
  </si>
  <si>
    <t>Monthly Electrical Bills or Estimated Electrical Usage</t>
  </si>
  <si>
    <t>Month</t>
  </si>
  <si>
    <t>Meter (kWh)</t>
  </si>
  <si>
    <t>Meter (MWh)</t>
  </si>
  <si>
    <t>(MT CO2 / MWh)</t>
  </si>
  <si>
    <t>Jan</t>
  </si>
  <si>
    <t>Feb</t>
  </si>
  <si>
    <t>Mar</t>
  </si>
  <si>
    <t>Apr</t>
  </si>
  <si>
    <t>May</t>
  </si>
  <si>
    <t>June</t>
  </si>
  <si>
    <t>July</t>
  </si>
  <si>
    <t>Aug</t>
  </si>
  <si>
    <t>Sept</t>
  </si>
  <si>
    <t>Oct</t>
  </si>
  <si>
    <t>Nov</t>
  </si>
  <si>
    <t>Dec</t>
  </si>
  <si>
    <r>
      <t>Total MT CO</t>
    </r>
    <r>
      <rPr>
        <b/>
        <vertAlign val="subscript"/>
        <sz val="11"/>
        <color indexed="8"/>
        <rFont val="Calibri"/>
        <family val="2"/>
      </rPr>
      <t>2</t>
    </r>
    <r>
      <rPr>
        <b/>
        <sz val="11"/>
        <color indexed="8"/>
        <rFont val="Calibri"/>
        <family val="2"/>
      </rPr>
      <t>e for Purchased Electricity 2009</t>
    </r>
  </si>
  <si>
    <r>
      <t>Backup Information for Derivation of CO</t>
    </r>
    <r>
      <rPr>
        <b/>
        <u/>
        <vertAlign val="subscript"/>
        <sz val="11"/>
        <rFont val="Calibri"/>
        <family val="2"/>
      </rPr>
      <t>2</t>
    </r>
    <r>
      <rPr>
        <b/>
        <u/>
        <sz val="11"/>
        <rFont val="Calibri"/>
        <family val="2"/>
      </rPr>
      <t>e factor</t>
    </r>
  </si>
  <si>
    <t>Methodology</t>
  </si>
  <si>
    <t>This is not a full greenhouse gas (GHG) inventory for the alternative rather it is an estimate of the alternative's operations and maintenance that produce GHG emissions. This will need to be compared to the existing condition (baseline) which could be higher because of higher overflow volumes which would have higher N2O emissions than the alternatives.  The calculations performed in this worksheet adhere to the protocols outlined by the IPCC and GHG Protocol.  Each alternative, including the baseline, is each evaluated separately to identify the project characteristics, including fuel usage, treatment processes and technologies, which produce GHG emissions.</t>
  </si>
  <si>
    <t>Emission Source</t>
  </si>
  <si>
    <t>Type of Emission</t>
  </si>
  <si>
    <t>Data Source</t>
  </si>
  <si>
    <r>
      <t>CO</t>
    </r>
    <r>
      <rPr>
        <b/>
        <vertAlign val="subscript"/>
        <sz val="11"/>
        <color indexed="8"/>
        <rFont val="Calibri"/>
        <family val="2"/>
      </rPr>
      <t>2</t>
    </r>
    <r>
      <rPr>
        <b/>
        <sz val="12"/>
        <color indexed="8"/>
        <rFont val="Calibri"/>
        <family val="2"/>
      </rPr>
      <t>e Information Source</t>
    </r>
  </si>
  <si>
    <t>Scope 1 - Direct (Stationary)</t>
  </si>
  <si>
    <t>Invoices or Estimated</t>
  </si>
  <si>
    <t>U.S. DOE - EIA SEIT Spreadsheet</t>
  </si>
  <si>
    <t>Diesel Fuel</t>
  </si>
  <si>
    <t>Scope 1 - Direct (Mobile)</t>
  </si>
  <si>
    <t>Mileage</t>
  </si>
  <si>
    <t>Methane (CH4)</t>
  </si>
  <si>
    <t>Scope 1 - Direct (Process)</t>
  </si>
  <si>
    <t>Calculated</t>
  </si>
  <si>
    <t>2006 IPCC Guidelines - Chapter 6, Equation 6.1 "Total CH4 Emissions From Domestic Wastewater"</t>
  </si>
  <si>
    <t>Nitrous Oxide (N2O)</t>
  </si>
  <si>
    <r>
      <t>Adapted from 2010 research literature (</t>
    </r>
    <r>
      <rPr>
        <i/>
        <sz val="12"/>
        <color indexed="8"/>
        <rFont val="Calibri"/>
        <family val="2"/>
      </rPr>
      <t>see report text for further explanation</t>
    </r>
    <r>
      <rPr>
        <sz val="12"/>
        <color indexed="8"/>
        <rFont val="Calibri"/>
        <family val="2"/>
      </rPr>
      <t>)</t>
    </r>
  </si>
  <si>
    <t>Electricity</t>
  </si>
  <si>
    <t>Scope 2 - Indirect (Electricity)</t>
  </si>
  <si>
    <t>Emission Factors</t>
  </si>
  <si>
    <r>
      <t>MT CO</t>
    </r>
    <r>
      <rPr>
        <vertAlign val="subscript"/>
        <sz val="10"/>
        <rFont val="Arial"/>
        <family val="2"/>
      </rPr>
      <t>2</t>
    </r>
    <r>
      <rPr>
        <sz val="10"/>
        <rFont val="Arial"/>
        <family val="2"/>
      </rPr>
      <t>e</t>
    </r>
    <r>
      <rPr>
        <sz val="11"/>
        <color theme="1"/>
        <rFont val="Calibri"/>
        <family val="2"/>
        <scheme val="minor"/>
      </rPr>
      <t>/gallon</t>
    </r>
  </si>
  <si>
    <t>U. S. DOE - EIA SEIT 2.4 Tab "2. Stationary Combustion" (converted to MT CO2/gallon)</t>
  </si>
  <si>
    <r>
      <t>MT CO</t>
    </r>
    <r>
      <rPr>
        <vertAlign val="subscript"/>
        <sz val="11"/>
        <color indexed="8"/>
        <rFont val="Calibri"/>
        <family val="2"/>
      </rPr>
      <t>2</t>
    </r>
    <r>
      <rPr>
        <sz val="11"/>
        <color theme="1"/>
        <rFont val="Calibri"/>
        <family val="2"/>
        <scheme val="minor"/>
      </rPr>
      <t>e/gallon</t>
    </r>
  </si>
  <si>
    <t>Light-Duty Trucks (gas, 2006 and later)</t>
  </si>
  <si>
    <r>
      <t>MT CO</t>
    </r>
    <r>
      <rPr>
        <vertAlign val="subscript"/>
        <sz val="11"/>
        <color indexed="8"/>
        <rFont val="Calibri"/>
        <family val="2"/>
      </rPr>
      <t>2</t>
    </r>
    <r>
      <rPr>
        <sz val="11"/>
        <color theme="1"/>
        <rFont val="Calibri"/>
        <family val="2"/>
        <scheme val="minor"/>
      </rPr>
      <t>e/mile</t>
    </r>
  </si>
  <si>
    <t>U. S. DOE - EIA SEIT 2.4 Tab "3. Mobile Combustion" (2006 and later light-duty truck, converted to MT CO2/mile)</t>
  </si>
  <si>
    <t>Light-Duty Trucks (gas, 2005)</t>
  </si>
  <si>
    <t>U. S. DOE - EIA SEIT 2.4 Tab "3. Mobile Combustion" (2005 light-duty truck, converted to MT CO2/mile)</t>
  </si>
  <si>
    <t>Light-Duty Trucks (gas, 2004)</t>
  </si>
  <si>
    <t>U. S. DOE - EIA SEIT 2.4 Tab "3. Mobile Combustion" (2004 light-duty truck, converted to MT CO2/mile)</t>
  </si>
  <si>
    <t>Light-Duty Trucks (gas, 2003)</t>
  </si>
  <si>
    <t>Light-Duty Trucks (gas, 2002)</t>
  </si>
  <si>
    <t>U. S. DOE - EIA SEIT 2.4 Tab "3. Mobile Combustion" (2001 light-duty truck, converted to MT CO2/mile)</t>
  </si>
  <si>
    <t>Light-Duty Trucks (gas, 2001)</t>
  </si>
  <si>
    <t>Light-Duty Trucks (gas, 2000)</t>
  </si>
  <si>
    <t>U. S. DOE - EIA SEIT 2.4 Tab "3. Mobile Combustion" (2000 light-duty truck, converted to MT CO2/mile)</t>
  </si>
  <si>
    <t>Light-Duty Trucks (gas, 1999)</t>
  </si>
  <si>
    <t>U. S. DOE - EIA SEIT 2.4 Tab "3. Mobile Combustion" (1999 light-duty truck, converted to MT CO2/mile)</t>
  </si>
  <si>
    <t>Light-Duty Trucks (gas, 1998 and earlier)</t>
  </si>
  <si>
    <t>U. S. DOE - EIA SEIT 2.4 Tab "3. Mobile Combustion" (1998 and earlier light-duty truck, converted to MT CO2/mile)</t>
  </si>
  <si>
    <t>Heavy-Duty Trucks (gas, 2006 and later)</t>
  </si>
  <si>
    <t>U. S. DOE - EIA SEIT 2.4 Tab "3. Mobile Combustion" (2006 and later heavy-duty truck, converted to MT CO2/mile)</t>
  </si>
  <si>
    <t>Heavy-Duty Trucks (gas, 1998 and earlier)</t>
  </si>
  <si>
    <t>U. S. DOE - EIA SEIT 2.4 Tab "3. Mobile Combustion" (1998 and earlier heavy-duty truck, converted to MT CO2/mile)</t>
  </si>
  <si>
    <t>Light-Duty Trucks (diesel)</t>
  </si>
  <si>
    <t>U. S. DOE - EIA SEIT 2.4 Tab "3. Mobile Combustion" (light-duty truck, converted to MT CO2/mile)</t>
  </si>
  <si>
    <t>Heavy-Duty Trucks (diesel)</t>
  </si>
  <si>
    <t>U. S. DOE - EIA SEIT 2.4 Tab "3. Mobile Combustion" (heavy-duty truck, converted to MT CO2/mile)</t>
  </si>
  <si>
    <r>
      <t>Methane (CH</t>
    </r>
    <r>
      <rPr>
        <sz val="10"/>
        <color indexed="8"/>
        <rFont val="Calibri"/>
        <family val="2"/>
      </rPr>
      <t>4</t>
    </r>
    <r>
      <rPr>
        <sz val="11"/>
        <color theme="1"/>
        <rFont val="Calibri"/>
        <family val="2"/>
        <scheme val="minor"/>
      </rPr>
      <t>)</t>
    </r>
  </si>
  <si>
    <t>CO2e (100 yr)</t>
  </si>
  <si>
    <t>IPCC Fourth Assessment Report: Climate Change 2007 (AR4)</t>
  </si>
  <si>
    <r>
      <t>Nitrous Oxide (N</t>
    </r>
    <r>
      <rPr>
        <sz val="10"/>
        <color indexed="8"/>
        <rFont val="Calibri"/>
        <family val="2"/>
      </rPr>
      <t>2</t>
    </r>
    <r>
      <rPr>
        <sz val="11"/>
        <color theme="1"/>
        <rFont val="Calibri"/>
        <family val="2"/>
        <scheme val="minor"/>
      </rPr>
      <t>O)</t>
    </r>
  </si>
  <si>
    <r>
      <t>MT CO</t>
    </r>
    <r>
      <rPr>
        <vertAlign val="subscript"/>
        <sz val="11"/>
        <color indexed="8"/>
        <rFont val="Calibri"/>
        <family val="2"/>
      </rPr>
      <t>2</t>
    </r>
    <r>
      <rPr>
        <sz val="11"/>
        <color theme="1"/>
        <rFont val="Calibri"/>
        <family val="2"/>
        <scheme val="minor"/>
      </rPr>
      <t>e/MWh</t>
    </r>
  </si>
  <si>
    <t>U. S. DOE - EIA SEIT 2.4 (w/ AR4 GWP) Tab "1. Purchased Energy" for Indiana</t>
  </si>
  <si>
    <r>
      <t>MT CO</t>
    </r>
    <r>
      <rPr>
        <vertAlign val="subscript"/>
        <sz val="10"/>
        <color indexed="8"/>
        <rFont val="Arial"/>
        <family val="2"/>
      </rPr>
      <t>2</t>
    </r>
    <r>
      <rPr>
        <sz val="10"/>
        <color indexed="8"/>
        <rFont val="Arial"/>
        <family val="2"/>
      </rPr>
      <t>e</t>
    </r>
  </si>
  <si>
    <t>Metric ton (1000 Kg) of carbon dioxide equivalent</t>
  </si>
  <si>
    <t>US Protein Intake 2003 - 2004</t>
  </si>
  <si>
    <r>
      <t>(This table utilzes the sited information to obtain an average protein intake for use in the IPCC N</t>
    </r>
    <r>
      <rPr>
        <vertAlign val="subscript"/>
        <sz val="11"/>
        <color indexed="8"/>
        <rFont val="Calibri"/>
        <family val="2"/>
      </rPr>
      <t>2</t>
    </r>
    <r>
      <rPr>
        <sz val="11"/>
        <color theme="1"/>
        <rFont val="Calibri"/>
        <family val="2"/>
        <scheme val="minor"/>
      </rPr>
      <t>0 Calculations)</t>
    </r>
  </si>
  <si>
    <t>Age Group
(Years)</t>
  </si>
  <si>
    <t>Gender</t>
  </si>
  <si>
    <t>Number of Individuals Sampled</t>
  </si>
  <si>
    <t>% of Overall Sampled Individuals</t>
  </si>
  <si>
    <t>Mean Protein per Age Group
(g/d)</t>
  </si>
  <si>
    <t>Portion of Protein from this Age Group
(g/d)</t>
  </si>
  <si>
    <t>2-3</t>
  </si>
  <si>
    <t>Male &amp; Female</t>
  </si>
  <si>
    <t>4-8</t>
  </si>
  <si>
    <t>9-13</t>
  </si>
  <si>
    <t>Male</t>
  </si>
  <si>
    <t>Female</t>
  </si>
  <si>
    <t>14-18</t>
  </si>
  <si>
    <t>19-30</t>
  </si>
  <si>
    <t>31-50</t>
  </si>
  <si>
    <t>51-70</t>
  </si>
  <si>
    <t>71+</t>
  </si>
  <si>
    <t>Information from: Current protein intake in America analysis of the National Health and Nutrition Examination Survey, 2003-2004 -- Fulgoni 87 (5) 1554S -- American Journal of Clinical Nutrition</t>
  </si>
  <si>
    <r>
      <t>Difference between the estimated CO</t>
    </r>
    <r>
      <rPr>
        <vertAlign val="subscript"/>
        <sz val="14"/>
        <color indexed="8"/>
        <rFont val="Calibri"/>
        <family val="2"/>
      </rPr>
      <t xml:space="preserve">2 </t>
    </r>
    <r>
      <rPr>
        <sz val="14"/>
        <color indexed="8"/>
        <rFont val="Calibri"/>
        <family val="2"/>
      </rPr>
      <t>equivalent (MT eCO</t>
    </r>
    <r>
      <rPr>
        <vertAlign val="subscript"/>
        <sz val="14"/>
        <color indexed="8"/>
        <rFont val="Calibri"/>
        <family val="2"/>
      </rPr>
      <t>2</t>
    </r>
    <r>
      <rPr>
        <sz val="14"/>
        <color indexed="8"/>
        <rFont val="Calibri"/>
        <family val="2"/>
      </rPr>
      <t>/yr) in green house gases for direct combustion, direct overflow and process, and indirect electricity for an alternative as compared to the baseline estimated CO</t>
    </r>
    <r>
      <rPr>
        <vertAlign val="subscript"/>
        <sz val="14"/>
        <color indexed="8"/>
        <rFont val="Calibri"/>
        <family val="2"/>
      </rPr>
      <t>2</t>
    </r>
    <r>
      <rPr>
        <sz val="14"/>
        <color indexed="8"/>
        <rFont val="Calibri"/>
        <family val="2"/>
      </rPr>
      <t xml:space="preserve"> equivalent.</t>
    </r>
  </si>
  <si>
    <t>Percent of project  funding from  partnerships with private entities, low interest loans savings, or grants for Green Infrastructure as compared to overall project cost</t>
  </si>
  <si>
    <t>Capital Cost in 2010 dollars divided by the pounds of TSS removed in a typical year.  Score criteria is based on an average cost of $4,400/lb</t>
  </si>
  <si>
    <t>1 = &gt; $5,300/lb
2 =$4,700 to $5,299/lb
3 = $4,100 to $4,699/lb
4 = $3,000 to $4,099/lb
5 = &lt; $2,999/lb</t>
  </si>
  <si>
    <t>Number of total labor hours estimated for construction project (See worksheets within Scorecard to calculate based on construction cost)</t>
  </si>
  <si>
    <t>MG of overflow reduction in a typical year</t>
  </si>
  <si>
    <t>CSO Overflow = Modeled overflow in a typical year</t>
  </si>
  <si>
    <t>Factor</t>
  </si>
  <si>
    <t>Raw wastewater equivalent</t>
  </si>
  <si>
    <t>Assumed raw wastewater to storm water dilution ratio in typcial combined sewer overflows</t>
  </si>
  <si>
    <t>Calculated gallons of wastewater</t>
  </si>
  <si>
    <t>Calculated population</t>
  </si>
  <si>
    <t>Wastewater per person per year</t>
  </si>
  <si>
    <t>100 gallons/day per capita converted to gallons/year</t>
  </si>
  <si>
    <t xml:space="preserve">Estimated  reduction in basement flooding based on the number of homes with basements that the alternative impacts. </t>
  </si>
  <si>
    <t>Estimated percent reduction in velocity of discharge flows to streams, as compared to the City of Fort Wayne's maximum of 6 ft/s.</t>
  </si>
  <si>
    <t>Evaluation of alternatives ability for TSS removal in stormwater by BMP's.</t>
  </si>
  <si>
    <t xml:space="preserve">1 = No TSS Removal
3 = Slight Level of TSS Removal
5 =   TSS Removal by BMP's
  </t>
  </si>
  <si>
    <t>Zero = Not applicable
1 = &gt;15 Homes
2 = 16 to 25 Homes
3 = 26 to 35 LF
4 =  36 to 45 Homes
5 = &lt;45 Homes</t>
  </si>
  <si>
    <t xml:space="preserve">Estimated  reduction in street flooding based on the amount of water spilled. </t>
  </si>
  <si>
    <t xml:space="preserve">Zero = Not applicable
1 = &gt;2 MG
2 = 3 to 5 MG
3 = 6 to 10 MG
4 =  11 to 20 MG
5 = &lt;20 MG </t>
  </si>
  <si>
    <t>Alternative No. 0</t>
  </si>
  <si>
    <t xml:space="preserve"> (-3) = Increased Velocity
zero = Not Applicable       
1 = No Reduction
2 = Low Reduction
3 = Moderate Reduction
4 = High Reduction
5 = Complete Reduction</t>
  </si>
  <si>
    <t>Alternative No. 2</t>
  </si>
  <si>
    <t>CSO Activation Reduction (ea)</t>
  </si>
  <si>
    <t>XXXXX</t>
  </si>
  <si>
    <t>Sub-Basin XXXXX</t>
  </si>
  <si>
    <t>Sub-Basin XXXXXX</t>
  </si>
  <si>
    <t>1.1.1</t>
  </si>
  <si>
    <t>1.1.2</t>
  </si>
  <si>
    <t>1.1.3</t>
  </si>
  <si>
    <t>1.1.4</t>
  </si>
  <si>
    <t>1.1.5</t>
  </si>
  <si>
    <t>1.1.6</t>
  </si>
  <si>
    <t>1.2.1</t>
  </si>
  <si>
    <t>1.2.2</t>
  </si>
  <si>
    <t>1.2.3</t>
  </si>
  <si>
    <t>1.2.4</t>
  </si>
  <si>
    <t>1.2.5</t>
  </si>
  <si>
    <t>1.2.6</t>
  </si>
  <si>
    <t>1.2.7</t>
  </si>
  <si>
    <t>1.3.1</t>
  </si>
  <si>
    <t>1.3.2</t>
  </si>
  <si>
    <t>1.3.3</t>
  </si>
  <si>
    <t>1.3.4</t>
  </si>
  <si>
    <t>1.3.6</t>
  </si>
  <si>
    <t>1.3.5</t>
  </si>
  <si>
    <t>1.3.7</t>
  </si>
  <si>
    <t>1.3.8</t>
  </si>
  <si>
    <t>1.3.9</t>
  </si>
  <si>
    <t>Insert the total capital cost for the alternative into the Project Consruction Fee cell. Record in the scorecard (1.2.5) the total labor hours from cell Y24.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</si>
</sst>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quot;$&quot;* #,##0_);_(&quot;$&quot;* \(#,##0\);_(&quot;$&quot;* &quot;-&quot;??_);_(@_)"/>
    <numFmt numFmtId="167" formatCode="&quot;$&quot;#,##0"/>
    <numFmt numFmtId="168" formatCode="_(* #,##0_);_(* \(#,##0\);_(* &quot;-&quot;??_);_(@_)"/>
    <numFmt numFmtId="169" formatCode="#,##0.00000"/>
    <numFmt numFmtId="170" formatCode="0.00000"/>
    <numFmt numFmtId="171" formatCode="0.000000"/>
    <numFmt numFmtId="172" formatCode="0.0"/>
  </numFmts>
  <fonts count="59" x14ac:knownFonts="1">
    <font>
      <sz val="11"/>
      <color theme="1"/>
      <name val="Calibri"/>
      <family val="2"/>
      <scheme val="minor"/>
    </font>
    <font>
      <b/>
      <sz val="16"/>
      <color indexed="9"/>
      <name val="Calibri"/>
      <family val="2"/>
    </font>
    <font>
      <sz val="14"/>
      <color indexed="8"/>
      <name val="Calibri"/>
      <family val="2"/>
    </font>
    <font>
      <vertAlign val="subscript"/>
      <sz val="14"/>
      <color indexed="8"/>
      <name val="Calibri"/>
      <family val="2"/>
    </font>
    <font>
      <sz val="14"/>
      <color indexed="8"/>
      <name val="Calibri"/>
      <family val="2"/>
    </font>
    <font>
      <b/>
      <sz val="16"/>
      <color indexed="9"/>
      <name val="Calibri"/>
      <family val="2"/>
    </font>
    <font>
      <b/>
      <sz val="18"/>
      <color indexed="56"/>
      <name val="Calibri"/>
      <family val="2"/>
    </font>
    <font>
      <sz val="10"/>
      <name val="Arial"/>
      <family val="2"/>
    </font>
    <font>
      <sz val="11"/>
      <color indexed="8"/>
      <name val="Calibri"/>
      <family val="2"/>
    </font>
    <font>
      <b/>
      <sz val="14"/>
      <color indexed="9"/>
      <name val="Calibri"/>
      <family val="2"/>
    </font>
    <font>
      <sz val="14"/>
      <color indexed="8"/>
      <name val="Calibri"/>
      <family val="2"/>
    </font>
    <font>
      <b/>
      <sz val="14"/>
      <color indexed="56"/>
      <name val="Calibri"/>
      <family val="2"/>
    </font>
    <font>
      <sz val="14"/>
      <color indexed="56"/>
      <name val="Calibri"/>
      <family val="2"/>
    </font>
    <font>
      <sz val="14"/>
      <color indexed="55"/>
      <name val="Calibri"/>
      <family val="2"/>
    </font>
    <font>
      <b/>
      <sz val="14"/>
      <color indexed="9"/>
      <name val="Calibri"/>
      <family val="2"/>
    </font>
    <font>
      <b/>
      <sz val="11"/>
      <color indexed="8"/>
      <name val="Calibri"/>
      <family val="2"/>
    </font>
    <font>
      <sz val="11"/>
      <name val="Calibri"/>
      <family val="2"/>
    </font>
    <font>
      <b/>
      <sz val="12"/>
      <name val="Calibri"/>
      <family val="2"/>
    </font>
    <font>
      <b/>
      <sz val="11"/>
      <color indexed="8"/>
      <name val="Calibri"/>
      <family val="2"/>
    </font>
    <font>
      <sz val="11"/>
      <color indexed="23"/>
      <name val="Calibri"/>
      <family val="2"/>
    </font>
    <font>
      <sz val="12"/>
      <color indexed="23"/>
      <name val="Arial"/>
      <family val="2"/>
    </font>
    <font>
      <sz val="12"/>
      <name val="Arial"/>
      <family val="2"/>
    </font>
    <font>
      <sz val="11"/>
      <color indexed="8"/>
      <name val="Arial"/>
      <family val="2"/>
    </font>
    <font>
      <b/>
      <sz val="14"/>
      <name val="Arial"/>
      <family val="2"/>
    </font>
    <font>
      <b/>
      <sz val="12"/>
      <name val="Arial"/>
      <family val="2"/>
    </font>
    <font>
      <sz val="9"/>
      <name val="Arial"/>
      <family val="2"/>
    </font>
    <font>
      <b/>
      <sz val="11"/>
      <color indexed="8"/>
      <name val="Arial"/>
      <family val="2"/>
    </font>
    <font>
      <sz val="10"/>
      <color indexed="8"/>
      <name val="Arial"/>
      <family val="2"/>
    </font>
    <font>
      <b/>
      <sz val="12"/>
      <color indexed="8"/>
      <name val="Calibri"/>
      <family val="2"/>
    </font>
    <font>
      <vertAlign val="subscript"/>
      <sz val="11"/>
      <color indexed="8"/>
      <name val="Calibri"/>
      <family val="2"/>
    </font>
    <font>
      <i/>
      <sz val="11"/>
      <color indexed="62"/>
      <name val="Calibri"/>
      <family val="2"/>
    </font>
    <font>
      <b/>
      <i/>
      <sz val="11"/>
      <color indexed="62"/>
      <name val="Calibri"/>
      <family val="2"/>
    </font>
    <font>
      <i/>
      <sz val="11"/>
      <color indexed="10"/>
      <name val="Calibri"/>
      <family val="2"/>
    </font>
    <font>
      <b/>
      <vertAlign val="subscript"/>
      <sz val="11"/>
      <color indexed="8"/>
      <name val="Calibri"/>
      <family val="2"/>
    </font>
    <font>
      <b/>
      <u/>
      <sz val="14"/>
      <color indexed="8"/>
      <name val="Calibri"/>
      <family val="2"/>
    </font>
    <font>
      <b/>
      <u/>
      <vertAlign val="subscript"/>
      <sz val="14"/>
      <color indexed="8"/>
      <name val="Calibri"/>
      <family val="2"/>
    </font>
    <font>
      <b/>
      <sz val="14"/>
      <color indexed="8"/>
      <name val="Calibri"/>
      <family val="2"/>
    </font>
    <font>
      <b/>
      <vertAlign val="subscript"/>
      <sz val="14"/>
      <color indexed="8"/>
      <name val="Calibri"/>
      <family val="2"/>
    </font>
    <font>
      <sz val="11"/>
      <color indexed="56"/>
      <name val="Calibri"/>
      <family val="2"/>
    </font>
    <font>
      <sz val="11"/>
      <color indexed="81"/>
      <name val="Tahoma"/>
      <family val="2"/>
    </font>
    <font>
      <u/>
      <sz val="11"/>
      <color indexed="8"/>
      <name val="Calibri"/>
      <family val="2"/>
    </font>
    <font>
      <b/>
      <u/>
      <sz val="11"/>
      <name val="Calibri"/>
      <family val="2"/>
    </font>
    <font>
      <b/>
      <u/>
      <vertAlign val="subscript"/>
      <sz val="11"/>
      <name val="Calibri"/>
      <family val="2"/>
    </font>
    <font>
      <sz val="11"/>
      <color indexed="17"/>
      <name val="Calibri"/>
      <family val="2"/>
    </font>
    <font>
      <b/>
      <sz val="8"/>
      <color indexed="81"/>
      <name val="Tahoma"/>
      <family val="2"/>
    </font>
    <font>
      <sz val="8"/>
      <color indexed="81"/>
      <name val="Tahoma"/>
      <family val="2"/>
    </font>
    <font>
      <b/>
      <sz val="10"/>
      <name val="Arial"/>
      <family val="2"/>
    </font>
    <font>
      <sz val="12"/>
      <color indexed="8"/>
      <name val="Calibri"/>
      <family val="2"/>
    </font>
    <font>
      <i/>
      <sz val="12"/>
      <color indexed="8"/>
      <name val="Calibri"/>
      <family val="2"/>
    </font>
    <font>
      <vertAlign val="subscript"/>
      <sz val="10"/>
      <name val="Arial"/>
      <family val="2"/>
    </font>
    <font>
      <b/>
      <u/>
      <sz val="11"/>
      <color indexed="17"/>
      <name val="Calibri"/>
      <family val="2"/>
    </font>
    <font>
      <b/>
      <i/>
      <sz val="11"/>
      <color indexed="17"/>
      <name val="Calibri"/>
      <family val="2"/>
    </font>
    <font>
      <b/>
      <sz val="11"/>
      <color indexed="17"/>
      <name val="Calibri"/>
      <family val="2"/>
    </font>
    <font>
      <sz val="10"/>
      <color indexed="8"/>
      <name val="Calibri"/>
      <family val="2"/>
    </font>
    <font>
      <u/>
      <sz val="11"/>
      <color indexed="17"/>
      <name val="Calibri"/>
      <family val="2"/>
    </font>
    <font>
      <vertAlign val="subscript"/>
      <sz val="10"/>
      <color indexed="8"/>
      <name val="Arial"/>
      <family val="2"/>
    </font>
    <font>
      <sz val="14"/>
      <name val="Calibri"/>
      <family val="2"/>
    </font>
    <font>
      <sz val="8"/>
      <name val="Calibri"/>
      <family val="2"/>
    </font>
    <font>
      <i/>
      <sz val="11"/>
      <color rgb="FF7F7F7F"/>
      <name val="Calibri"/>
      <family val="2"/>
      <scheme val="minor"/>
    </font>
  </fonts>
  <fills count="14">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3"/>
        <bgColor indexed="64"/>
      </patternFill>
    </fill>
    <fill>
      <patternFill patternType="solid">
        <fgColor indexed="11"/>
        <bgColor indexed="64"/>
      </patternFill>
    </fill>
    <fill>
      <patternFill patternType="solid">
        <fgColor indexed="46"/>
        <bgColor indexed="64"/>
      </patternFill>
    </fill>
    <fill>
      <patternFill patternType="solid">
        <fgColor indexed="30"/>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s>
  <borders count="94">
    <border>
      <left/>
      <right/>
      <top/>
      <bottom/>
      <diagonal/>
    </border>
    <border>
      <left style="medium">
        <color indexed="9"/>
      </left>
      <right style="medium">
        <color indexed="9"/>
      </right>
      <top style="medium">
        <color indexed="9"/>
      </top>
      <bottom style="thick">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style="thick">
        <color indexed="9"/>
      </top>
      <bottom style="medium">
        <color indexed="9"/>
      </bottom>
      <diagonal/>
    </border>
    <border>
      <left style="medium">
        <color indexed="9"/>
      </left>
      <right/>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style="medium">
        <color indexed="9"/>
      </left>
      <right/>
      <top style="thick">
        <color indexed="9"/>
      </top>
      <bottom style="medium">
        <color indexed="9"/>
      </bottom>
      <diagonal/>
    </border>
    <border>
      <left style="medium">
        <color indexed="9"/>
      </left>
      <right/>
      <top style="medium">
        <color indexed="9"/>
      </top>
      <bottom style="thick">
        <color indexed="9"/>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style="thick">
        <color indexed="9"/>
      </bottom>
      <diagonal/>
    </border>
    <border>
      <left/>
      <right style="medium">
        <color indexed="9"/>
      </right>
      <top style="medium">
        <color indexed="9"/>
      </top>
      <bottom style="thick">
        <color indexed="9"/>
      </bottom>
      <diagonal/>
    </border>
    <border>
      <left/>
      <right/>
      <top style="thick">
        <color indexed="9"/>
      </top>
      <bottom style="medium">
        <color indexed="9"/>
      </bottom>
      <diagonal/>
    </border>
    <border>
      <left/>
      <right style="medium">
        <color indexed="9"/>
      </right>
      <top style="thick">
        <color indexed="9"/>
      </top>
      <bottom style="medium">
        <color indexed="9"/>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diagonal/>
    </border>
    <border>
      <left style="thin">
        <color indexed="64"/>
      </left>
      <right style="thin">
        <color indexed="64"/>
      </right>
      <top/>
      <bottom/>
      <diagonal/>
    </border>
  </borders>
  <cellStyleXfs count="7">
    <xf numFmtId="0" fontId="0" fillId="0" borderId="0"/>
    <xf numFmtId="43" fontId="8" fillId="0" borderId="0" applyFont="0" applyFill="0" applyBorder="0" applyAlignment="0" applyProtection="0"/>
    <xf numFmtId="44" fontId="8" fillId="0" borderId="0" applyFont="0" applyFill="0" applyBorder="0" applyAlignment="0" applyProtection="0"/>
    <xf numFmtId="0" fontId="58" fillId="0" borderId="0" applyNumberFormat="0" applyFill="0" applyBorder="0" applyAlignment="0" applyProtection="0"/>
    <xf numFmtId="0" fontId="7" fillId="0" borderId="0"/>
    <xf numFmtId="9" fontId="8" fillId="0" borderId="0" applyFont="0" applyFill="0" applyBorder="0" applyAlignment="0" applyProtection="0"/>
    <xf numFmtId="9" fontId="7" fillId="0" borderId="0" applyFont="0" applyFill="0" applyBorder="0" applyAlignment="0" applyProtection="0"/>
  </cellStyleXfs>
  <cellXfs count="474">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9" fontId="2" fillId="4"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164" fontId="0" fillId="0" borderId="0" xfId="0" applyNumberFormat="1" applyAlignment="1">
      <alignment vertical="center"/>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8" fontId="2" fillId="4" borderId="2" xfId="0" applyNumberFormat="1" applyFont="1" applyFill="1" applyBorder="1" applyAlignment="1">
      <alignment horizontal="center" vertical="center" wrapText="1"/>
    </xf>
    <xf numFmtId="0" fontId="2" fillId="4" borderId="3" xfId="0" applyFont="1" applyFill="1" applyBorder="1" applyAlignment="1">
      <alignment horizontal="left" vertical="center" wrapText="1"/>
    </xf>
    <xf numFmtId="8" fontId="2" fillId="3" borderId="2" xfId="0" applyNumberFormat="1" applyFont="1" applyFill="1" applyBorder="1" applyAlignment="1">
      <alignment horizontal="center" vertical="center" wrapText="1"/>
    </xf>
    <xf numFmtId="6" fontId="2" fillId="3"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38" fontId="2" fillId="3" borderId="2" xfId="0" applyNumberFormat="1"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0" fontId="2" fillId="4" borderId="6" xfId="0" applyFont="1" applyFill="1" applyBorder="1" applyAlignment="1">
      <alignment horizontal="left" vertical="center" wrapText="1"/>
    </xf>
    <xf numFmtId="0" fontId="0" fillId="0" borderId="0" xfId="0" applyAlignment="1">
      <alignment horizontal="center" vertical="center" wrapText="1"/>
    </xf>
    <xf numFmtId="0" fontId="2" fillId="3"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0" fillId="0" borderId="0" xfId="0" applyAlignment="1">
      <alignment horizontal="center"/>
    </xf>
    <xf numFmtId="0" fontId="9" fillId="2" borderId="8" xfId="0" applyFont="1" applyFill="1" applyBorder="1" applyAlignment="1">
      <alignment horizontal="center" vertical="center" wrapText="1"/>
    </xf>
    <xf numFmtId="0" fontId="10" fillId="0" borderId="0" xfId="0" applyFont="1"/>
    <xf numFmtId="0" fontId="11" fillId="0" borderId="0" xfId="0" applyFont="1" applyFill="1" applyAlignment="1">
      <alignment horizontal="center" vertical="center" wrapText="1"/>
    </xf>
    <xf numFmtId="0" fontId="10" fillId="0" borderId="0" xfId="0" applyFont="1" applyAlignment="1">
      <alignment vertical="center" wrapText="1"/>
    </xf>
    <xf numFmtId="0" fontId="9" fillId="5" borderId="1" xfId="0" applyFont="1" applyFill="1" applyBorder="1" applyAlignment="1">
      <alignment horizontal="center" vertical="top" wrapText="1" readingOrder="1"/>
    </xf>
    <xf numFmtId="0" fontId="11" fillId="0" borderId="0" xfId="0" applyFont="1" applyFill="1"/>
    <xf numFmtId="6" fontId="12" fillId="0" borderId="0" xfId="0" applyNumberFormat="1" applyFont="1" applyFill="1" applyAlignment="1">
      <alignment horizontal="center"/>
    </xf>
    <xf numFmtId="0" fontId="10" fillId="0" borderId="0" xfId="0" applyFont="1" applyAlignment="1">
      <alignment horizontal="center"/>
    </xf>
    <xf numFmtId="0" fontId="12" fillId="0" borderId="0" xfId="0" applyFont="1"/>
    <xf numFmtId="0" fontId="13" fillId="0" borderId="0" xfId="0" applyFont="1" applyAlignment="1">
      <alignment horizontal="center"/>
    </xf>
    <xf numFmtId="0" fontId="13" fillId="0" borderId="0" xfId="0" applyFont="1"/>
    <xf numFmtId="8" fontId="12" fillId="0" borderId="0" xfId="0" applyNumberFormat="1" applyFont="1" applyFill="1" applyAlignment="1">
      <alignment horizontal="center"/>
    </xf>
    <xf numFmtId="0" fontId="9" fillId="2" borderId="1" xfId="0" applyFont="1" applyFill="1" applyBorder="1" applyAlignment="1">
      <alignment horizontal="center" vertical="top" wrapText="1" readingOrder="1"/>
    </xf>
    <xf numFmtId="0" fontId="9" fillId="2" borderId="1" xfId="0" applyFont="1" applyFill="1" applyBorder="1" applyAlignment="1">
      <alignment horizontal="center" vertical="top" wrapText="1"/>
    </xf>
    <xf numFmtId="9" fontId="9" fillId="2" borderId="1" xfId="5" applyFont="1" applyFill="1" applyBorder="1" applyAlignment="1">
      <alignment horizontal="center" vertical="top" wrapText="1"/>
    </xf>
    <xf numFmtId="0" fontId="9" fillId="2" borderId="1" xfId="0" applyFont="1" applyFill="1" applyBorder="1" applyAlignment="1">
      <alignment horizontal="left" vertical="center" wrapText="1"/>
    </xf>
    <xf numFmtId="0" fontId="14" fillId="2" borderId="1" xfId="0" applyFont="1" applyFill="1" applyBorder="1" applyAlignment="1">
      <alignment horizontal="center" vertical="top" wrapText="1" readingOrder="1"/>
    </xf>
    <xf numFmtId="9" fontId="9" fillId="2" borderId="1" xfId="5" applyFont="1" applyFill="1" applyBorder="1" applyAlignment="1">
      <alignment horizontal="center" vertical="top" wrapText="1" readingOrder="1"/>
    </xf>
    <xf numFmtId="9" fontId="10" fillId="0" borderId="0" xfId="5" applyFont="1" applyAlignment="1">
      <alignment horizontal="center"/>
    </xf>
    <xf numFmtId="0" fontId="9" fillId="2" borderId="1" xfId="0" applyFont="1" applyFill="1" applyBorder="1" applyAlignment="1">
      <alignment horizontal="left" vertical="top" wrapText="1" readingOrder="1"/>
    </xf>
    <xf numFmtId="0" fontId="16" fillId="0" borderId="0" xfId="0" applyNumberFormat="1" applyFont="1" applyFill="1" applyBorder="1" applyAlignment="1" applyProtection="1"/>
    <xf numFmtId="0" fontId="0" fillId="0" borderId="0" xfId="0" applyFill="1"/>
    <xf numFmtId="0" fontId="0" fillId="0" borderId="9" xfId="0" applyBorder="1"/>
    <xf numFmtId="0" fontId="0" fillId="0" borderId="10" xfId="0" applyBorder="1"/>
    <xf numFmtId="0" fontId="0" fillId="0" borderId="11" xfId="0" applyBorder="1"/>
    <xf numFmtId="0" fontId="0" fillId="0" borderId="11" xfId="0" applyBorder="1" applyAlignment="1">
      <alignment horizontal="right"/>
    </xf>
    <xf numFmtId="0" fontId="0" fillId="0" borderId="12" xfId="0" applyBorder="1"/>
    <xf numFmtId="0" fontId="0" fillId="0" borderId="11" xfId="0" applyBorder="1" applyAlignment="1">
      <alignment horizontal="center" textRotation="90"/>
    </xf>
    <xf numFmtId="0" fontId="0" fillId="0" borderId="12" xfId="0" applyBorder="1" applyAlignment="1">
      <alignment horizontal="center" textRotation="90"/>
    </xf>
    <xf numFmtId="0" fontId="0" fillId="0" borderId="13" xfId="0" applyBorder="1"/>
    <xf numFmtId="0" fontId="17" fillId="6" borderId="14" xfId="0" applyFont="1" applyFill="1" applyBorder="1" applyAlignment="1">
      <alignment horizontal="center" textRotation="90" wrapText="1"/>
    </xf>
    <xf numFmtId="0" fontId="17" fillId="6" borderId="15" xfId="0" applyFont="1" applyFill="1" applyBorder="1" applyAlignment="1">
      <alignment horizontal="center" textRotation="90" wrapText="1"/>
    </xf>
    <xf numFmtId="0" fontId="17" fillId="6" borderId="16" xfId="0" applyFont="1" applyFill="1" applyBorder="1" applyAlignment="1">
      <alignment horizontal="center" textRotation="90" wrapText="1"/>
    </xf>
    <xf numFmtId="0" fontId="18" fillId="6" borderId="17" xfId="0" applyFont="1" applyFill="1" applyBorder="1" applyAlignment="1">
      <alignment horizontal="center" textRotation="90"/>
    </xf>
    <xf numFmtId="0" fontId="0" fillId="0" borderId="18" xfId="0" applyFill="1" applyBorder="1" applyAlignment="1">
      <alignment horizontal="center" textRotation="90"/>
    </xf>
    <xf numFmtId="0" fontId="0" fillId="0" borderId="12" xfId="0" applyBorder="1" applyAlignment="1">
      <alignment textRotation="90"/>
    </xf>
    <xf numFmtId="0" fontId="0" fillId="0" borderId="0" xfId="0" applyBorder="1"/>
    <xf numFmtId="0" fontId="0" fillId="0" borderId="11" xfId="0" applyBorder="1" applyAlignment="1">
      <alignment horizontal="center"/>
    </xf>
    <xf numFmtId="167" fontId="15" fillId="0" borderId="11"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right"/>
    </xf>
    <xf numFmtId="164" fontId="0" fillId="0" borderId="11" xfId="0" applyNumberFormat="1" applyBorder="1" applyAlignment="1">
      <alignment horizontal="center"/>
    </xf>
    <xf numFmtId="164" fontId="0" fillId="0" borderId="12" xfId="0" applyNumberFormat="1" applyBorder="1" applyAlignment="1">
      <alignment horizontal="center"/>
    </xf>
    <xf numFmtId="164" fontId="0" fillId="0" borderId="10" xfId="0" applyNumberFormat="1" applyFill="1" applyBorder="1" applyAlignment="1">
      <alignment horizontal="center"/>
    </xf>
    <xf numFmtId="0" fontId="0" fillId="0" borderId="19" xfId="0" applyBorder="1"/>
    <xf numFmtId="0" fontId="0" fillId="0" borderId="20" xfId="0" applyBorder="1" applyAlignment="1">
      <alignment horizontal="center"/>
    </xf>
    <xf numFmtId="167" fontId="15" fillId="0" borderId="20" xfId="0" applyNumberFormat="1" applyFont="1" applyBorder="1" applyAlignment="1">
      <alignment horizontal="center"/>
    </xf>
    <xf numFmtId="0" fontId="0" fillId="0" borderId="21" xfId="0" applyBorder="1" applyAlignment="1">
      <alignment horizontal="center"/>
    </xf>
    <xf numFmtId="164" fontId="0" fillId="0" borderId="0" xfId="0" applyNumberFormat="1" applyFill="1" applyBorder="1" applyAlignment="1">
      <alignment horizontal="center"/>
    </xf>
    <xf numFmtId="0" fontId="0" fillId="0" borderId="22" xfId="0" applyBorder="1"/>
    <xf numFmtId="167" fontId="0" fillId="0" borderId="20" xfId="0" applyNumberFormat="1" applyBorder="1" applyAlignment="1">
      <alignment horizontal="center"/>
    </xf>
    <xf numFmtId="10" fontId="0" fillId="0" borderId="20" xfId="0" applyNumberFormat="1" applyBorder="1" applyAlignment="1">
      <alignment horizontal="center"/>
    </xf>
    <xf numFmtId="10" fontId="0" fillId="0" borderId="21" xfId="0" applyNumberFormat="1" applyBorder="1" applyAlignment="1">
      <alignment horizontal="center"/>
    </xf>
    <xf numFmtId="164" fontId="0" fillId="0" borderId="23" xfId="0" applyNumberFormat="1" applyBorder="1"/>
    <xf numFmtId="9" fontId="0" fillId="0" borderId="0" xfId="0" applyNumberFormat="1" applyBorder="1" applyAlignment="1">
      <alignment horizontal="center"/>
    </xf>
    <xf numFmtId="9" fontId="0" fillId="0" borderId="22" xfId="0" applyNumberFormat="1" applyBorder="1" applyAlignment="1">
      <alignment horizontal="center"/>
    </xf>
    <xf numFmtId="44" fontId="8" fillId="0" borderId="0" xfId="2" applyFont="1" applyBorder="1"/>
    <xf numFmtId="168" fontId="8" fillId="0" borderId="22" xfId="1" applyNumberFormat="1" applyFont="1" applyBorder="1"/>
    <xf numFmtId="1" fontId="0" fillId="0" borderId="0" xfId="0" applyNumberFormat="1" applyBorder="1"/>
    <xf numFmtId="0" fontId="0" fillId="0" borderId="24" xfId="0" applyBorder="1"/>
    <xf numFmtId="0" fontId="0" fillId="0" borderId="0" xfId="0" applyBorder="1" applyAlignment="1">
      <alignment horizontal="center"/>
    </xf>
    <xf numFmtId="167" fontId="0" fillId="0" borderId="0" xfId="0" applyNumberFormat="1" applyBorder="1" applyAlignment="1">
      <alignment horizontal="center"/>
    </xf>
    <xf numFmtId="10" fontId="0" fillId="0" borderId="0" xfId="0" applyNumberFormat="1" applyBorder="1" applyAlignment="1">
      <alignment horizontal="center"/>
    </xf>
    <xf numFmtId="10" fontId="0" fillId="0" borderId="22" xfId="0" applyNumberFormat="1" applyBorder="1" applyAlignment="1">
      <alignment horizontal="center"/>
    </xf>
    <xf numFmtId="0" fontId="0" fillId="0" borderId="25" xfId="0" applyBorder="1"/>
    <xf numFmtId="0" fontId="0" fillId="0" borderId="9" xfId="0" applyBorder="1" applyAlignment="1">
      <alignment horizontal="center"/>
    </xf>
    <xf numFmtId="167" fontId="0" fillId="0" borderId="9" xfId="0" applyNumberFormat="1" applyBorder="1" applyAlignment="1">
      <alignment horizontal="center"/>
    </xf>
    <xf numFmtId="10" fontId="0" fillId="0" borderId="9" xfId="0" applyNumberFormat="1" applyBorder="1" applyAlignment="1">
      <alignment horizontal="center"/>
    </xf>
    <xf numFmtId="10" fontId="0" fillId="0" borderId="26" xfId="0" applyNumberFormat="1" applyBorder="1" applyAlignment="1">
      <alignment horizontal="center"/>
    </xf>
    <xf numFmtId="164" fontId="0" fillId="0" borderId="27" xfId="0" applyNumberFormat="1" applyBorder="1"/>
    <xf numFmtId="9" fontId="0" fillId="0" borderId="9" xfId="0" applyNumberFormat="1" applyBorder="1" applyAlignment="1">
      <alignment horizontal="center"/>
    </xf>
    <xf numFmtId="9" fontId="0" fillId="0" borderId="26" xfId="0" applyNumberFormat="1" applyBorder="1" applyAlignment="1">
      <alignment horizontal="center"/>
    </xf>
    <xf numFmtId="44" fontId="8" fillId="0" borderId="25" xfId="2" applyFont="1" applyBorder="1"/>
    <xf numFmtId="168" fontId="8" fillId="0" borderId="26" xfId="1" applyNumberFormat="1" applyFont="1" applyBorder="1"/>
    <xf numFmtId="0" fontId="0" fillId="0" borderId="0" xfId="0" applyAlignment="1">
      <alignment horizontal="right"/>
    </xf>
    <xf numFmtId="10" fontId="0" fillId="0" borderId="0" xfId="0" applyNumberFormat="1" applyAlignment="1">
      <alignment horizontal="center"/>
    </xf>
    <xf numFmtId="0" fontId="15" fillId="0" borderId="0" xfId="0" applyFont="1" applyAlignment="1">
      <alignment horizontal="right"/>
    </xf>
    <xf numFmtId="167" fontId="0" fillId="7" borderId="28" xfId="0" applyNumberFormat="1" applyFill="1" applyBorder="1"/>
    <xf numFmtId="167" fontId="0" fillId="7" borderId="29" xfId="0" applyNumberFormat="1" applyFill="1" applyBorder="1"/>
    <xf numFmtId="167" fontId="0" fillId="7" borderId="30" xfId="0" applyNumberFormat="1" applyFill="1" applyBorder="1"/>
    <xf numFmtId="0" fontId="0" fillId="0" borderId="19" xfId="0" applyFill="1" applyBorder="1"/>
    <xf numFmtId="0" fontId="0" fillId="0" borderId="20" xfId="0" applyBorder="1"/>
    <xf numFmtId="10" fontId="0" fillId="0" borderId="0" xfId="0" applyNumberFormat="1"/>
    <xf numFmtId="168" fontId="8" fillId="8" borderId="31" xfId="1" applyNumberFormat="1" applyFont="1" applyFill="1" applyBorder="1"/>
    <xf numFmtId="168" fontId="8" fillId="8" borderId="32" xfId="1" applyNumberFormat="1" applyFont="1" applyFill="1" applyBorder="1"/>
    <xf numFmtId="168" fontId="8" fillId="8" borderId="33" xfId="1" applyNumberFormat="1" applyFont="1" applyFill="1" applyBorder="1"/>
    <xf numFmtId="0" fontId="0" fillId="0" borderId="0" xfId="0" applyFill="1" applyBorder="1"/>
    <xf numFmtId="168" fontId="8" fillId="8" borderId="13" xfId="1" applyNumberFormat="1" applyFont="1" applyFill="1" applyBorder="1"/>
    <xf numFmtId="10" fontId="0" fillId="0" borderId="0" xfId="0" applyNumberFormat="1" applyBorder="1"/>
    <xf numFmtId="1" fontId="0" fillId="0" borderId="0" xfId="0" applyNumberFormat="1" applyFill="1" applyBorder="1"/>
    <xf numFmtId="0" fontId="19" fillId="0" borderId="0" xfId="0" applyFont="1" applyBorder="1"/>
    <xf numFmtId="167" fontId="19" fillId="0" borderId="0" xfId="0" applyNumberFormat="1" applyFont="1" applyBorder="1"/>
    <xf numFmtId="0" fontId="19" fillId="0" borderId="0" xfId="0" applyFont="1" applyBorder="1" applyAlignment="1">
      <alignment horizontal="right"/>
    </xf>
    <xf numFmtId="168" fontId="19" fillId="0" borderId="0" xfId="0" applyNumberFormat="1" applyFont="1" applyBorder="1" applyAlignment="1">
      <alignment horizontal="right" vertical="center"/>
    </xf>
    <xf numFmtId="0" fontId="20" fillId="0" borderId="0" xfId="0" applyFont="1" applyFill="1" applyBorder="1" applyAlignment="1">
      <alignment wrapText="1"/>
    </xf>
    <xf numFmtId="0" fontId="20" fillId="0" borderId="0" xfId="0" applyFont="1" applyFill="1" applyBorder="1"/>
    <xf numFmtId="0" fontId="19" fillId="0" borderId="0" xfId="0" applyFont="1" applyBorder="1" applyAlignment="1">
      <alignment wrapText="1"/>
    </xf>
    <xf numFmtId="10" fontId="19" fillId="0" borderId="0" xfId="0" applyNumberFormat="1" applyFont="1" applyBorder="1"/>
    <xf numFmtId="0" fontId="19" fillId="0" borderId="0" xfId="0" applyFont="1" applyBorder="1" applyAlignment="1">
      <alignment horizontal="center"/>
    </xf>
    <xf numFmtId="44" fontId="8" fillId="0" borderId="24" xfId="2" applyFont="1" applyBorder="1"/>
    <xf numFmtId="167" fontId="0" fillId="9" borderId="11" xfId="0" applyNumberFormat="1" applyFill="1" applyBorder="1"/>
    <xf numFmtId="0" fontId="17" fillId="6" borderId="34" xfId="0" applyFont="1" applyFill="1" applyBorder="1" applyAlignment="1">
      <alignment horizontal="center" textRotation="90" wrapText="1"/>
    </xf>
    <xf numFmtId="0" fontId="17" fillId="6" borderId="35" xfId="0" applyFont="1" applyFill="1" applyBorder="1" applyAlignment="1">
      <alignment horizontal="center" textRotation="90" wrapText="1"/>
    </xf>
    <xf numFmtId="0" fontId="17" fillId="10" borderId="35" xfId="0" applyFont="1" applyFill="1" applyBorder="1" applyAlignment="1">
      <alignment horizontal="center" textRotation="90" wrapText="1"/>
    </xf>
    <xf numFmtId="0" fontId="17" fillId="6" borderId="36" xfId="0" applyFont="1" applyFill="1" applyBorder="1" applyAlignment="1">
      <alignment horizontal="center" textRotation="90" wrapText="1"/>
    </xf>
    <xf numFmtId="0" fontId="18" fillId="6" borderId="37" xfId="0" applyFont="1" applyFill="1" applyBorder="1" applyAlignment="1">
      <alignment horizontal="center" textRotation="90"/>
    </xf>
    <xf numFmtId="0" fontId="17" fillId="0" borderId="0" xfId="0" applyFont="1" applyFill="1" applyBorder="1" applyAlignment="1">
      <alignment horizontal="center" textRotation="90" wrapText="1"/>
    </xf>
    <xf numFmtId="0" fontId="0" fillId="0" borderId="0" xfId="0" applyFont="1" applyFill="1" applyBorder="1" applyAlignment="1">
      <alignment horizontal="center" textRotation="90"/>
    </xf>
    <xf numFmtId="164" fontId="0" fillId="0" borderId="9" xfId="0" applyNumberFormat="1" applyBorder="1" applyAlignment="1">
      <alignment horizontal="center"/>
    </xf>
    <xf numFmtId="164" fontId="0" fillId="10" borderId="9" xfId="0" applyNumberFormat="1" applyFill="1" applyBorder="1" applyAlignment="1">
      <alignment horizontal="center"/>
    </xf>
    <xf numFmtId="164" fontId="0" fillId="0" borderId="26" xfId="0" applyNumberFormat="1" applyFill="1" applyBorder="1" applyAlignment="1">
      <alignment horizontal="center"/>
    </xf>
    <xf numFmtId="0" fontId="0" fillId="0" borderId="0" xfId="0" applyFill="1" applyBorder="1" applyAlignment="1">
      <alignment horizontal="right"/>
    </xf>
    <xf numFmtId="167" fontId="15" fillId="0" borderId="0" xfId="0" applyNumberFormat="1" applyFont="1" applyBorder="1" applyAlignment="1">
      <alignment horizontal="center"/>
    </xf>
    <xf numFmtId="0" fontId="0" fillId="0" borderId="22" xfId="0" applyBorder="1" applyAlignment="1">
      <alignment horizontal="center"/>
    </xf>
    <xf numFmtId="9" fontId="0" fillId="0" borderId="0" xfId="0" applyNumberFormat="1" applyBorder="1"/>
    <xf numFmtId="9" fontId="21" fillId="0" borderId="0" xfId="0" applyNumberFormat="1" applyFont="1" applyFill="1" applyBorder="1"/>
    <xf numFmtId="9" fontId="0" fillId="10" borderId="0" xfId="0" applyNumberFormat="1" applyFill="1" applyBorder="1"/>
    <xf numFmtId="9" fontId="0" fillId="0" borderId="22" xfId="0" applyNumberFormat="1" applyBorder="1"/>
    <xf numFmtId="9" fontId="0" fillId="0" borderId="0" xfId="0" applyNumberFormat="1" applyFill="1" applyBorder="1"/>
    <xf numFmtId="167" fontId="0" fillId="0" borderId="19" xfId="0" applyNumberFormat="1" applyFill="1" applyBorder="1"/>
    <xf numFmtId="0" fontId="19" fillId="0" borderId="10" xfId="0" applyFont="1" applyBorder="1"/>
    <xf numFmtId="0" fontId="19" fillId="0" borderId="11" xfId="0" applyFont="1" applyBorder="1"/>
    <xf numFmtId="167" fontId="19" fillId="0" borderId="11" xfId="0" applyNumberFormat="1" applyFont="1" applyBorder="1"/>
    <xf numFmtId="0" fontId="19" fillId="0" borderId="12" xfId="0" applyFont="1" applyBorder="1"/>
    <xf numFmtId="0" fontId="19" fillId="0" borderId="24" xfId="0" applyFont="1" applyBorder="1"/>
    <xf numFmtId="0" fontId="19" fillId="0" borderId="22" xfId="0" applyFont="1" applyBorder="1"/>
    <xf numFmtId="10" fontId="19" fillId="0" borderId="22" xfId="0" applyNumberFormat="1" applyFont="1" applyBorder="1"/>
    <xf numFmtId="0" fontId="19" fillId="0" borderId="25" xfId="0" applyFont="1" applyBorder="1"/>
    <xf numFmtId="0" fontId="19" fillId="0" borderId="9" xfId="0" applyFont="1" applyBorder="1"/>
    <xf numFmtId="167" fontId="19" fillId="0" borderId="9" xfId="0" applyNumberFormat="1" applyFont="1" applyBorder="1"/>
    <xf numFmtId="10" fontId="19" fillId="0" borderId="9" xfId="0" applyNumberFormat="1" applyFont="1" applyBorder="1"/>
    <xf numFmtId="10" fontId="19" fillId="0" borderId="26" xfId="0" applyNumberFormat="1" applyFont="1" applyBorder="1"/>
    <xf numFmtId="0" fontId="19" fillId="0" borderId="0" xfId="0" applyFont="1"/>
    <xf numFmtId="0" fontId="19" fillId="0" borderId="22" xfId="0" applyFont="1" applyBorder="1" applyAlignment="1">
      <alignment horizontal="center"/>
    </xf>
    <xf numFmtId="167" fontId="19" fillId="0" borderId="0" xfId="0" applyNumberFormat="1" applyFont="1"/>
    <xf numFmtId="0" fontId="19" fillId="0" borderId="0" xfId="0" applyFont="1" applyFill="1" applyBorder="1"/>
    <xf numFmtId="167" fontId="0" fillId="0" borderId="0" xfId="0" applyNumberFormat="1"/>
    <xf numFmtId="0" fontId="22" fillId="0" borderId="38" xfId="0" applyFont="1" applyFill="1" applyBorder="1"/>
    <xf numFmtId="0" fontId="23" fillId="0" borderId="39" xfId="0" applyFont="1" applyFill="1" applyBorder="1" applyAlignment="1">
      <alignment horizontal="center"/>
    </xf>
    <xf numFmtId="0" fontId="23" fillId="0" borderId="0" xfId="0" applyFont="1" applyFill="1" applyAlignment="1">
      <alignment horizontal="center"/>
    </xf>
    <xf numFmtId="0" fontId="22" fillId="0" borderId="0" xfId="0" applyFont="1" applyFill="1"/>
    <xf numFmtId="0" fontId="18" fillId="0" borderId="0" xfId="0" applyFont="1"/>
    <xf numFmtId="0" fontId="22" fillId="0" borderId="40" xfId="0" applyFont="1" applyFill="1" applyBorder="1"/>
    <xf numFmtId="0" fontId="22" fillId="0" borderId="39" xfId="0" applyFont="1" applyFill="1" applyBorder="1"/>
    <xf numFmtId="0" fontId="21" fillId="0" borderId="40" xfId="0" applyFont="1" applyFill="1" applyBorder="1"/>
    <xf numFmtId="0" fontId="21" fillId="0" borderId="41" xfId="0" applyFont="1" applyFill="1" applyBorder="1"/>
    <xf numFmtId="0" fontId="22" fillId="0" borderId="0" xfId="0" applyNumberFormat="1" applyFont="1" applyFill="1"/>
    <xf numFmtId="0" fontId="22" fillId="0" borderId="41" xfId="0" applyFont="1" applyFill="1" applyBorder="1"/>
    <xf numFmtId="49" fontId="21" fillId="0" borderId="42" xfId="0" applyNumberFormat="1" applyFont="1" applyFill="1" applyBorder="1" applyAlignment="1">
      <alignment horizontal="right"/>
    </xf>
    <xf numFmtId="0" fontId="24" fillId="0" borderId="41" xfId="0" applyFont="1" applyFill="1" applyBorder="1"/>
    <xf numFmtId="0" fontId="24" fillId="0" borderId="41" xfId="0" applyFont="1" applyFill="1" applyBorder="1" applyAlignment="1">
      <alignment horizontal="right"/>
    </xf>
    <xf numFmtId="164" fontId="24" fillId="0" borderId="41" xfId="0" applyNumberFormat="1" applyFont="1" applyFill="1" applyBorder="1"/>
    <xf numFmtId="164" fontId="21" fillId="0" borderId="41" xfId="0" applyNumberFormat="1" applyFont="1" applyFill="1" applyBorder="1"/>
    <xf numFmtId="165" fontId="21" fillId="0" borderId="41" xfId="6" applyNumberFormat="1" applyFont="1" applyFill="1" applyBorder="1"/>
    <xf numFmtId="0" fontId="22" fillId="0" borderId="0" xfId="0" applyFont="1" applyFill="1" applyBorder="1"/>
    <xf numFmtId="164" fontId="21" fillId="0" borderId="41" xfId="0" applyNumberFormat="1" applyFont="1" applyFill="1" applyBorder="1" applyAlignment="1">
      <alignment horizontal="right"/>
    </xf>
    <xf numFmtId="0" fontId="25" fillId="0" borderId="0" xfId="0" applyFont="1" applyFill="1"/>
    <xf numFmtId="0" fontId="17" fillId="0" borderId="0" xfId="0" applyFont="1"/>
    <xf numFmtId="0" fontId="26" fillId="0" borderId="0" xfId="0" applyFont="1" applyFill="1"/>
    <xf numFmtId="164" fontId="22" fillId="0" borderId="41" xfId="0" applyNumberFormat="1" applyFont="1" applyFill="1" applyBorder="1"/>
    <xf numFmtId="0" fontId="22" fillId="0" borderId="0" xfId="0" applyFont="1"/>
    <xf numFmtId="0" fontId="27" fillId="0" borderId="0" xfId="0" applyFont="1" applyFill="1"/>
    <xf numFmtId="164" fontId="22" fillId="0" borderId="0" xfId="0" applyNumberFormat="1" applyFont="1" applyFill="1"/>
    <xf numFmtId="9" fontId="0" fillId="0" borderId="0" xfId="5" applyFont="1"/>
    <xf numFmtId="0" fontId="28" fillId="0" borderId="0" xfId="0" applyFont="1"/>
    <xf numFmtId="0" fontId="0" fillId="0" borderId="43" xfId="0" applyBorder="1"/>
    <xf numFmtId="0" fontId="0" fillId="0" borderId="44" xfId="0" applyBorder="1"/>
    <xf numFmtId="0" fontId="0" fillId="0" borderId="45" xfId="0" applyBorder="1"/>
    <xf numFmtId="0" fontId="15" fillId="0" borderId="46" xfId="0" applyFont="1" applyBorder="1"/>
    <xf numFmtId="0" fontId="28" fillId="0" borderId="0" xfId="0" applyFont="1" applyBorder="1"/>
    <xf numFmtId="0" fontId="15" fillId="0" borderId="0" xfId="0" applyFont="1" applyBorder="1" applyAlignment="1">
      <alignment horizontal="center"/>
    </xf>
    <xf numFmtId="0" fontId="0" fillId="0" borderId="47" xfId="0" applyBorder="1" applyAlignment="1">
      <alignment horizontal="center"/>
    </xf>
    <xf numFmtId="0" fontId="0" fillId="0" borderId="46" xfId="0" applyBorder="1"/>
    <xf numFmtId="9" fontId="0" fillId="0" borderId="47" xfId="5" applyFont="1" applyBorder="1" applyAlignment="1">
      <alignment horizontal="center"/>
    </xf>
    <xf numFmtId="9" fontId="0" fillId="0" borderId="0" xfId="5" applyFont="1" applyAlignment="1">
      <alignment horizontal="center"/>
    </xf>
    <xf numFmtId="0" fontId="30" fillId="0" borderId="0" xfId="0" applyFont="1"/>
    <xf numFmtId="0" fontId="31" fillId="0" borderId="0" xfId="3" applyFont="1"/>
    <xf numFmtId="0" fontId="0" fillId="0" borderId="46" xfId="0" applyBorder="1" applyAlignment="1">
      <alignment horizontal="left" indent="1"/>
    </xf>
    <xf numFmtId="0" fontId="0" fillId="0" borderId="47" xfId="0" applyBorder="1"/>
    <xf numFmtId="0" fontId="30" fillId="0" borderId="0" xfId="0" applyFont="1" applyAlignment="1">
      <alignment horizontal="center"/>
    </xf>
    <xf numFmtId="0" fontId="30" fillId="0" borderId="0" xfId="3" applyFont="1" applyAlignment="1">
      <alignment horizontal="center"/>
    </xf>
    <xf numFmtId="0" fontId="32" fillId="0" borderId="0" xfId="3" applyFont="1" applyAlignment="1">
      <alignment horizontal="center"/>
    </xf>
    <xf numFmtId="169" fontId="0" fillId="0" borderId="47" xfId="0" applyNumberFormat="1" applyBorder="1" applyAlignment="1">
      <alignment horizontal="center"/>
    </xf>
    <xf numFmtId="3" fontId="0" fillId="0" borderId="0" xfId="0" applyNumberFormat="1" applyAlignment="1">
      <alignment horizontal="center"/>
    </xf>
    <xf numFmtId="0" fontId="30" fillId="0" borderId="0" xfId="0" applyFont="1" applyBorder="1" applyAlignment="1">
      <alignment horizontal="right"/>
    </xf>
    <xf numFmtId="170" fontId="30" fillId="0" borderId="0" xfId="3" applyNumberFormat="1" applyFont="1" applyAlignment="1">
      <alignment horizontal="center"/>
    </xf>
    <xf numFmtId="170" fontId="32" fillId="0" borderId="0" xfId="3" applyNumberFormat="1" applyFont="1" applyAlignment="1">
      <alignment horizontal="center"/>
    </xf>
    <xf numFmtId="0" fontId="30" fillId="0" borderId="0" xfId="0" applyFont="1" applyBorder="1"/>
    <xf numFmtId="0" fontId="0" fillId="0" borderId="46" xfId="0" applyBorder="1" applyAlignment="1">
      <alignment horizontal="left" indent="3"/>
    </xf>
    <xf numFmtId="170" fontId="30" fillId="0" borderId="0" xfId="0" applyNumberFormat="1" applyFont="1" applyAlignment="1">
      <alignment horizontal="center"/>
    </xf>
    <xf numFmtId="170" fontId="32" fillId="0" borderId="0" xfId="0" applyNumberFormat="1" applyFont="1" applyAlignment="1">
      <alignment horizontal="center"/>
    </xf>
    <xf numFmtId="0" fontId="28" fillId="0" borderId="46" xfId="0" applyFont="1" applyBorder="1" applyAlignment="1">
      <alignment horizontal="left" indent="1"/>
    </xf>
    <xf numFmtId="0" fontId="0" fillId="0" borderId="48" xfId="0" applyBorder="1"/>
    <xf numFmtId="0" fontId="0" fillId="0" borderId="49" xfId="0" applyBorder="1"/>
    <xf numFmtId="3" fontId="28" fillId="0" borderId="49" xfId="0" applyNumberFormat="1" applyFont="1" applyBorder="1" applyAlignment="1">
      <alignment horizontal="center"/>
    </xf>
    <xf numFmtId="0" fontId="0" fillId="0" borderId="50" xfId="0" applyBorder="1"/>
    <xf numFmtId="0" fontId="32" fillId="0" borderId="0" xfId="0" applyFont="1"/>
    <xf numFmtId="0" fontId="15" fillId="0" borderId="0" xfId="0" applyFont="1" applyAlignment="1">
      <alignment horizontal="center"/>
    </xf>
    <xf numFmtId="3" fontId="15" fillId="0" borderId="0" xfId="0" applyNumberFormat="1" applyFont="1"/>
    <xf numFmtId="4" fontId="15" fillId="0" borderId="0" xfId="0" applyNumberFormat="1" applyFont="1" applyBorder="1" applyAlignment="1">
      <alignment horizontal="center"/>
    </xf>
    <xf numFmtId="0" fontId="0" fillId="0" borderId="0" xfId="0" applyAlignment="1">
      <alignment horizontal="left"/>
    </xf>
    <xf numFmtId="0" fontId="0" fillId="0" borderId="51" xfId="0" applyBorder="1" applyAlignment="1">
      <alignment horizontal="center"/>
    </xf>
    <xf numFmtId="0" fontId="0" fillId="0" borderId="52" xfId="0" applyBorder="1" applyAlignment="1">
      <alignment horizontal="center"/>
    </xf>
    <xf numFmtId="0" fontId="15" fillId="0" borderId="53" xfId="0" applyFont="1" applyBorder="1" applyAlignment="1">
      <alignment horizontal="center"/>
    </xf>
    <xf numFmtId="0" fontId="0" fillId="11" borderId="41" xfId="0" applyFill="1" applyBorder="1"/>
    <xf numFmtId="0" fontId="0" fillId="0" borderId="54" xfId="0" applyBorder="1" applyAlignment="1">
      <alignment horizontal="center"/>
    </xf>
    <xf numFmtId="4" fontId="15" fillId="0" borderId="55" xfId="0" applyNumberFormat="1" applyFont="1" applyBorder="1" applyAlignment="1">
      <alignment horizontal="center"/>
    </xf>
    <xf numFmtId="0" fontId="0" fillId="11" borderId="41" xfId="0" applyFill="1" applyBorder="1" applyAlignment="1">
      <alignment horizontal="center"/>
    </xf>
    <xf numFmtId="0" fontId="15" fillId="0" borderId="55" xfId="0" applyFont="1"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15" fillId="0" borderId="57" xfId="0" applyFont="1" applyBorder="1" applyAlignment="1">
      <alignment horizontal="right"/>
    </xf>
    <xf numFmtId="1" fontId="15" fillId="12" borderId="58" xfId="0" applyNumberFormat="1" applyFont="1"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5" fillId="0" borderId="61" xfId="0" applyFont="1" applyBorder="1" applyAlignment="1">
      <alignment horizontal="center"/>
    </xf>
    <xf numFmtId="0" fontId="0" fillId="0" borderId="62" xfId="0" applyBorder="1" applyAlignment="1">
      <alignment horizontal="center"/>
    </xf>
    <xf numFmtId="0" fontId="0" fillId="0" borderId="41" xfId="0" applyBorder="1" applyAlignment="1">
      <alignment horizontal="center"/>
    </xf>
    <xf numFmtId="4" fontId="0" fillId="0" borderId="63" xfId="0" applyNumberFormat="1" applyFont="1" applyBorder="1" applyAlignment="1">
      <alignment horizontal="center"/>
    </xf>
    <xf numFmtId="14" fontId="0" fillId="0" borderId="0" xfId="0" applyNumberFormat="1" applyAlignment="1">
      <alignment horizontal="center"/>
    </xf>
    <xf numFmtId="0" fontId="0" fillId="11" borderId="62" xfId="0" applyFill="1" applyBorder="1" applyAlignment="1">
      <alignment horizontal="center"/>
    </xf>
    <xf numFmtId="3" fontId="0" fillId="11" borderId="41" xfId="0" applyNumberFormat="1" applyFont="1" applyFill="1" applyBorder="1" applyAlignment="1">
      <alignment horizontal="center"/>
    </xf>
    <xf numFmtId="4" fontId="15" fillId="0" borderId="63" xfId="0" applyNumberFormat="1" applyFont="1" applyBorder="1" applyAlignment="1">
      <alignment horizontal="center"/>
    </xf>
    <xf numFmtId="3" fontId="0" fillId="0" borderId="0" xfId="0" applyNumberFormat="1"/>
    <xf numFmtId="0" fontId="0" fillId="11" borderId="64" xfId="0" applyFill="1" applyBorder="1" applyAlignment="1">
      <alignment horizontal="center"/>
    </xf>
    <xf numFmtId="0" fontId="0" fillId="11" borderId="65" xfId="0" applyFill="1" applyBorder="1" applyAlignment="1">
      <alignment horizontal="center"/>
    </xf>
    <xf numFmtId="3" fontId="0" fillId="11" borderId="65" xfId="0" applyNumberFormat="1" applyFont="1" applyFill="1" applyBorder="1" applyAlignment="1">
      <alignment horizontal="center"/>
    </xf>
    <xf numFmtId="4" fontId="15" fillId="0" borderId="66" xfId="0" applyNumberFormat="1" applyFont="1" applyBorder="1" applyAlignment="1">
      <alignment horizontal="center"/>
    </xf>
    <xf numFmtId="3" fontId="0" fillId="0" borderId="0" xfId="0" applyNumberFormat="1" applyFont="1" applyBorder="1" applyAlignment="1">
      <alignment horizontal="center" vertical="center"/>
    </xf>
    <xf numFmtId="0" fontId="15" fillId="0" borderId="0" xfId="0" applyFont="1" applyBorder="1" applyAlignment="1">
      <alignment horizontal="right"/>
    </xf>
    <xf numFmtId="4" fontId="15" fillId="12" borderId="67" xfId="0" applyNumberFormat="1" applyFont="1" applyFill="1" applyBorder="1" applyAlignment="1">
      <alignment horizontal="center" vertical="center"/>
    </xf>
    <xf numFmtId="0" fontId="0" fillId="0" borderId="0" xfId="0" applyFill="1" applyBorder="1" applyAlignment="1">
      <alignment horizontal="center"/>
    </xf>
    <xf numFmtId="3" fontId="0" fillId="0" borderId="0" xfId="0" applyNumberFormat="1" applyFont="1" applyFill="1" applyBorder="1" applyAlignment="1">
      <alignment horizontal="center"/>
    </xf>
    <xf numFmtId="4" fontId="15" fillId="0" borderId="0" xfId="0" applyNumberFormat="1" applyFont="1" applyFill="1" applyBorder="1" applyAlignment="1">
      <alignment horizontal="center"/>
    </xf>
    <xf numFmtId="3" fontId="0" fillId="0" borderId="0" xfId="0" applyNumberFormat="1" applyFill="1"/>
    <xf numFmtId="3" fontId="0" fillId="0" borderId="0" xfId="0" applyNumberFormat="1" applyFill="1" applyAlignment="1">
      <alignment horizontal="center"/>
    </xf>
    <xf numFmtId="0" fontId="34" fillId="0" borderId="0" xfId="0" applyFont="1" applyBorder="1" applyAlignment="1">
      <alignment horizontal="left" vertical="top"/>
    </xf>
    <xf numFmtId="0" fontId="0" fillId="0" borderId="0" xfId="0" applyBorder="1" applyAlignment="1">
      <alignment horizontal="center" vertical="top"/>
    </xf>
    <xf numFmtId="0" fontId="15" fillId="0" borderId="0" xfId="0" applyFont="1" applyBorder="1" applyAlignment="1">
      <alignment horizontal="center" vertical="top"/>
    </xf>
    <xf numFmtId="0" fontId="0" fillId="0" borderId="0" xfId="0" applyFont="1" applyBorder="1" applyAlignment="1">
      <alignment vertical="top"/>
    </xf>
    <xf numFmtId="0" fontId="0" fillId="0" borderId="0" xfId="0" applyBorder="1" applyAlignment="1">
      <alignment vertical="top"/>
    </xf>
    <xf numFmtId="0" fontId="0" fillId="0" borderId="0" xfId="0" applyBorder="1" applyAlignment="1">
      <alignment horizontal="left" vertical="top"/>
    </xf>
    <xf numFmtId="0" fontId="36" fillId="0" borderId="0" xfId="0" applyFont="1" applyBorder="1" applyAlignment="1">
      <alignment horizontal="left" vertical="top"/>
    </xf>
    <xf numFmtId="0" fontId="0" fillId="0" borderId="0" xfId="0" applyFont="1"/>
    <xf numFmtId="0" fontId="0" fillId="0" borderId="0" xfId="0" applyFont="1" applyBorder="1" applyAlignment="1">
      <alignment horizontal="left" vertical="top" wrapText="1"/>
    </xf>
    <xf numFmtId="3" fontId="15" fillId="0" borderId="0" xfId="0" applyNumberFormat="1" applyFont="1" applyBorder="1" applyAlignment="1">
      <alignment horizontal="center" vertical="top"/>
    </xf>
    <xf numFmtId="0" fontId="38" fillId="0" borderId="0" xfId="0" applyFont="1"/>
    <xf numFmtId="43" fontId="0" fillId="0" borderId="0" xfId="1" applyFont="1" applyBorder="1" applyAlignment="1">
      <alignment horizontal="center" vertical="top"/>
    </xf>
    <xf numFmtId="3" fontId="36" fillId="0" borderId="0" xfId="0" applyNumberFormat="1" applyFont="1" applyBorder="1" applyAlignment="1">
      <alignment horizontal="center" vertical="top"/>
    </xf>
    <xf numFmtId="0" fontId="0" fillId="0" borderId="0" xfId="0" applyFont="1" applyBorder="1" applyAlignment="1">
      <alignment horizontal="left" vertical="top"/>
    </xf>
    <xf numFmtId="1" fontId="15" fillId="0" borderId="0" xfId="0" applyNumberFormat="1" applyFont="1" applyBorder="1" applyAlignment="1">
      <alignment horizontal="center" vertical="top"/>
    </xf>
    <xf numFmtId="4" fontId="15" fillId="0" borderId="0" xfId="0" applyNumberFormat="1" applyFont="1" applyBorder="1" applyAlignment="1">
      <alignment horizontal="center" vertical="top"/>
    </xf>
    <xf numFmtId="0" fontId="0" fillId="0" borderId="0" xfId="0" applyFont="1" applyFill="1" applyBorder="1" applyAlignment="1">
      <alignment vertical="top"/>
    </xf>
    <xf numFmtId="0" fontId="0" fillId="0" borderId="0" xfId="0" applyFill="1" applyBorder="1" applyAlignment="1">
      <alignment vertical="top"/>
    </xf>
    <xf numFmtId="2" fontId="15" fillId="0" borderId="0" xfId="0" applyNumberFormat="1" applyFont="1" applyBorder="1" applyAlignment="1">
      <alignment horizontal="center" vertical="top"/>
    </xf>
    <xf numFmtId="3" fontId="36" fillId="12" borderId="67" xfId="0" applyNumberFormat="1" applyFont="1" applyFill="1" applyBorder="1" applyAlignment="1">
      <alignment horizontal="center" vertical="top"/>
    </xf>
    <xf numFmtId="0" fontId="15" fillId="0" borderId="0" xfId="0" applyFont="1"/>
    <xf numFmtId="4" fontId="15" fillId="0" borderId="0" xfId="0" applyNumberFormat="1" applyFont="1" applyAlignment="1">
      <alignment horizontal="center"/>
    </xf>
    <xf numFmtId="0" fontId="40" fillId="0" borderId="0" xfId="0" applyFont="1"/>
    <xf numFmtId="17" fontId="0" fillId="0" borderId="0" xfId="0" applyNumberFormat="1"/>
    <xf numFmtId="4" fontId="0" fillId="0" borderId="0" xfId="0" applyNumberFormat="1" applyAlignment="1">
      <alignment horizontal="center"/>
    </xf>
    <xf numFmtId="170" fontId="0" fillId="0" borderId="0" xfId="0" applyNumberFormat="1" applyAlignment="1">
      <alignment horizontal="center"/>
    </xf>
    <xf numFmtId="17" fontId="0" fillId="11" borderId="19" xfId="0" applyNumberFormat="1" applyFill="1" applyBorder="1" applyAlignment="1">
      <alignment horizontal="center"/>
    </xf>
    <xf numFmtId="3" fontId="0" fillId="11" borderId="20" xfId="0" applyNumberFormat="1" applyFill="1" applyBorder="1" applyAlignment="1">
      <alignment horizontal="center"/>
    </xf>
    <xf numFmtId="3" fontId="0" fillId="0" borderId="20" xfId="0" applyNumberFormat="1" applyBorder="1" applyAlignment="1">
      <alignment horizontal="center"/>
    </xf>
    <xf numFmtId="3" fontId="15" fillId="0" borderId="21" xfId="0" applyNumberFormat="1" applyFont="1" applyBorder="1" applyAlignment="1">
      <alignment horizontal="center"/>
    </xf>
    <xf numFmtId="17" fontId="0" fillId="11" borderId="24" xfId="0" applyNumberFormat="1" applyFill="1" applyBorder="1" applyAlignment="1">
      <alignment horizontal="center"/>
    </xf>
    <xf numFmtId="3" fontId="0" fillId="11" borderId="0" xfId="0" applyNumberFormat="1" applyFill="1" applyBorder="1" applyAlignment="1">
      <alignment horizontal="center"/>
    </xf>
    <xf numFmtId="3" fontId="0" fillId="0" borderId="0" xfId="0" applyNumberFormat="1" applyBorder="1" applyAlignment="1">
      <alignment horizontal="center"/>
    </xf>
    <xf numFmtId="3" fontId="15" fillId="0" borderId="22" xfId="0" applyNumberFormat="1" applyFont="1" applyBorder="1" applyAlignment="1">
      <alignment horizontal="center"/>
    </xf>
    <xf numFmtId="17" fontId="0" fillId="11" borderId="25" xfId="0" applyNumberFormat="1" applyFill="1" applyBorder="1" applyAlignment="1">
      <alignment horizontal="center"/>
    </xf>
    <xf numFmtId="3" fontId="0" fillId="11" borderId="9" xfId="0" applyNumberFormat="1" applyFill="1" applyBorder="1" applyAlignment="1">
      <alignment horizontal="center"/>
    </xf>
    <xf numFmtId="3" fontId="0" fillId="0" borderId="9" xfId="0" applyNumberFormat="1" applyBorder="1" applyAlignment="1">
      <alignment horizontal="center"/>
    </xf>
    <xf numFmtId="3" fontId="15" fillId="0" borderId="26" xfId="0" applyNumberFormat="1" applyFont="1" applyBorder="1" applyAlignment="1">
      <alignment horizontal="center"/>
    </xf>
    <xf numFmtId="3" fontId="0" fillId="0" borderId="0" xfId="0" applyNumberFormat="1" applyAlignment="1">
      <alignment horizontal="center" vertical="center"/>
    </xf>
    <xf numFmtId="0" fontId="15" fillId="0" borderId="0" xfId="0" applyFont="1" applyBorder="1" applyAlignment="1">
      <alignment horizontal="right" vertical="center"/>
    </xf>
    <xf numFmtId="3" fontId="28" fillId="12" borderId="68" xfId="0" applyNumberFormat="1" applyFont="1" applyFill="1" applyBorder="1" applyAlignment="1">
      <alignment horizontal="center" vertical="center"/>
    </xf>
    <xf numFmtId="2" fontId="0" fillId="0" borderId="0" xfId="0" applyNumberFormat="1"/>
    <xf numFmtId="4" fontId="15" fillId="0" borderId="0" xfId="0" applyNumberFormat="1" applyFont="1" applyAlignment="1">
      <alignment horizontal="right"/>
    </xf>
    <xf numFmtId="0" fontId="41" fillId="0" borderId="0" xfId="0" applyFont="1"/>
    <xf numFmtId="0" fontId="43" fillId="0" borderId="0" xfId="0" applyFont="1"/>
    <xf numFmtId="0" fontId="46" fillId="0" borderId="19" xfId="0" applyFont="1" applyBorder="1"/>
    <xf numFmtId="0" fontId="0" fillId="0" borderId="21" xfId="0" applyBorder="1"/>
    <xf numFmtId="0" fontId="28" fillId="0" borderId="18" xfId="0" applyFont="1" applyBorder="1" applyAlignment="1">
      <alignment horizontal="center" vertical="center"/>
    </xf>
    <xf numFmtId="0" fontId="28" fillId="0" borderId="35" xfId="0" applyFont="1" applyFill="1" applyBorder="1" applyAlignment="1">
      <alignment horizontal="center" vertical="center"/>
    </xf>
    <xf numFmtId="0" fontId="28" fillId="0" borderId="37" xfId="0" applyFont="1" applyFill="1" applyBorder="1" applyAlignment="1">
      <alignment horizontal="center" vertical="center"/>
    </xf>
    <xf numFmtId="0" fontId="47" fillId="0" borderId="69"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70" xfId="0" applyFont="1" applyFill="1" applyBorder="1" applyAlignment="1">
      <alignment horizontal="center" vertical="center" wrapText="1"/>
    </xf>
    <xf numFmtId="0" fontId="47" fillId="0" borderId="71" xfId="0" applyFont="1" applyFill="1" applyBorder="1" applyAlignment="1">
      <alignment horizontal="center" vertical="center" wrapText="1"/>
    </xf>
    <xf numFmtId="0" fontId="0" fillId="0" borderId="0" xfId="0" applyAlignment="1">
      <alignment wrapText="1"/>
    </xf>
    <xf numFmtId="0" fontId="47" fillId="0" borderId="72" xfId="0" applyFont="1" applyBorder="1" applyAlignment="1">
      <alignment horizontal="center" vertical="center" wrapText="1"/>
    </xf>
    <xf numFmtId="0" fontId="47" fillId="0" borderId="73"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73" xfId="0" applyFont="1" applyBorder="1" applyAlignment="1">
      <alignment horizontal="center" vertical="center" wrapText="1"/>
    </xf>
    <xf numFmtId="0" fontId="47" fillId="0" borderId="74" xfId="0" applyFont="1" applyFill="1" applyBorder="1" applyAlignment="1">
      <alignment horizontal="center" vertical="center" wrapText="1"/>
    </xf>
    <xf numFmtId="0" fontId="47" fillId="0" borderId="31"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76" xfId="0" applyFont="1" applyFill="1" applyBorder="1" applyAlignment="1">
      <alignment horizontal="center" vertical="center" wrapText="1"/>
    </xf>
    <xf numFmtId="0" fontId="47" fillId="0" borderId="77" xfId="0" applyFont="1" applyBorder="1" applyAlignment="1">
      <alignment horizontal="center" vertical="center" wrapText="1"/>
    </xf>
    <xf numFmtId="0" fontId="46" fillId="0" borderId="0" xfId="0" applyFont="1" applyBorder="1"/>
    <xf numFmtId="0" fontId="0" fillId="0" borderId="28" xfId="0" applyFill="1" applyBorder="1" applyAlignment="1">
      <alignment horizontal="left" vertical="center" indent="2"/>
    </xf>
    <xf numFmtId="0" fontId="0" fillId="0" borderId="78" xfId="0" applyFill="1" applyBorder="1" applyAlignment="1">
      <alignment horizontal="center" vertical="center"/>
    </xf>
    <xf numFmtId="0" fontId="0" fillId="0" borderId="79" xfId="0" applyFill="1" applyBorder="1" applyAlignment="1">
      <alignment vertical="center" wrapText="1"/>
    </xf>
    <xf numFmtId="0" fontId="50" fillId="0" borderId="0" xfId="0" applyFont="1"/>
    <xf numFmtId="0" fontId="51" fillId="0" borderId="0" xfId="0" applyFont="1"/>
    <xf numFmtId="0" fontId="0" fillId="0" borderId="72" xfId="0" applyBorder="1" applyAlignment="1">
      <alignment horizontal="left" vertical="center" indent="2"/>
    </xf>
    <xf numFmtId="0" fontId="0" fillId="0" borderId="41" xfId="0" applyFill="1" applyBorder="1" applyAlignment="1">
      <alignment horizontal="center" vertical="center"/>
    </xf>
    <xf numFmtId="0" fontId="0" fillId="0" borderId="73" xfId="0" applyFill="1" applyBorder="1" applyAlignment="1">
      <alignment vertical="center" wrapText="1"/>
    </xf>
    <xf numFmtId="171" fontId="0" fillId="0" borderId="41" xfId="0" applyNumberFormat="1" applyFill="1" applyBorder="1" applyAlignment="1">
      <alignment horizontal="center" vertical="center"/>
    </xf>
    <xf numFmtId="0" fontId="52" fillId="0" borderId="0" xfId="0" applyFont="1"/>
    <xf numFmtId="1" fontId="0" fillId="0" borderId="41" xfId="0" applyNumberFormat="1" applyFill="1" applyBorder="1" applyAlignment="1">
      <alignment horizontal="center" vertical="center"/>
    </xf>
    <xf numFmtId="0" fontId="54" fillId="0" borderId="0" xfId="0" applyFont="1" applyAlignment="1">
      <alignment horizontal="center"/>
    </xf>
    <xf numFmtId="0" fontId="0" fillId="0" borderId="72" xfId="0" applyFill="1" applyBorder="1" applyAlignment="1">
      <alignment horizontal="left" vertical="center" indent="2"/>
    </xf>
    <xf numFmtId="170" fontId="0" fillId="0" borderId="41" xfId="0" applyNumberFormat="1" applyFill="1" applyBorder="1" applyAlignment="1">
      <alignment horizontal="center" vertical="center"/>
    </xf>
    <xf numFmtId="0" fontId="0" fillId="0" borderId="24" xfId="0" applyBorder="1" applyAlignment="1">
      <alignment horizontal="left" indent="2"/>
    </xf>
    <xf numFmtId="170" fontId="0" fillId="0" borderId="0" xfId="0" applyNumberFormat="1" applyFill="1" applyBorder="1" applyAlignment="1">
      <alignment horizontal="center"/>
    </xf>
    <xf numFmtId="0" fontId="0" fillId="0" borderId="22" xfId="0" applyFill="1" applyBorder="1"/>
    <xf numFmtId="0" fontId="27" fillId="0" borderId="25" xfId="0" applyFont="1" applyBorder="1" applyAlignment="1">
      <alignment horizontal="left" indent="2"/>
    </xf>
    <xf numFmtId="0" fontId="0" fillId="0" borderId="9" xfId="0" applyFont="1" applyBorder="1"/>
    <xf numFmtId="0" fontId="0" fillId="0" borderId="26" xfId="0" applyBorder="1"/>
    <xf numFmtId="0" fontId="46" fillId="0" borderId="24" xfId="0" applyFont="1" applyBorder="1"/>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59" xfId="0" quotePrefix="1" applyBorder="1" applyAlignment="1">
      <alignment horizontal="center"/>
    </xf>
    <xf numFmtId="165" fontId="0" fillId="0" borderId="60" xfId="5" applyNumberFormat="1" applyFont="1" applyBorder="1" applyAlignment="1">
      <alignment horizontal="center"/>
    </xf>
    <xf numFmtId="172" fontId="0" fillId="0" borderId="61" xfId="0" applyNumberFormat="1" applyBorder="1" applyAlignment="1">
      <alignment horizontal="center"/>
    </xf>
    <xf numFmtId="0" fontId="0" fillId="0" borderId="62" xfId="0" quotePrefix="1" applyBorder="1" applyAlignment="1">
      <alignment horizontal="center"/>
    </xf>
    <xf numFmtId="165" fontId="0" fillId="0" borderId="41" xfId="5" applyNumberFormat="1" applyFont="1" applyBorder="1" applyAlignment="1">
      <alignment horizontal="center"/>
    </xf>
    <xf numFmtId="172" fontId="0" fillId="0" borderId="63" xfId="0" applyNumberFormat="1" applyBorder="1" applyAlignment="1">
      <alignment horizontal="center"/>
    </xf>
    <xf numFmtId="0" fontId="0" fillId="0" borderId="64" xfId="0" quotePrefix="1" applyBorder="1" applyAlignment="1">
      <alignment horizontal="center"/>
    </xf>
    <xf numFmtId="0" fontId="0" fillId="0" borderId="65" xfId="0" applyBorder="1" applyAlignment="1">
      <alignment horizontal="center"/>
    </xf>
    <xf numFmtId="165" fontId="0" fillId="0" borderId="65" xfId="5" applyNumberFormat="1" applyFont="1" applyBorder="1" applyAlignment="1">
      <alignment horizontal="center"/>
    </xf>
    <xf numFmtId="172" fontId="0" fillId="0" borderId="80" xfId="0" applyNumberFormat="1" applyBorder="1" applyAlignment="1">
      <alignment horizontal="center"/>
    </xf>
    <xf numFmtId="165" fontId="15" fillId="0" borderId="0" xfId="0" applyNumberFormat="1" applyFont="1" applyAlignment="1">
      <alignment horizontal="center"/>
    </xf>
    <xf numFmtId="172" fontId="15" fillId="12" borderId="0" xfId="0" applyNumberFormat="1" applyFont="1" applyFill="1" applyAlignment="1">
      <alignment horizontal="center"/>
    </xf>
    <xf numFmtId="3" fontId="0" fillId="0" borderId="47" xfId="0" applyNumberFormat="1" applyBorder="1" applyAlignment="1">
      <alignment horizontal="center"/>
    </xf>
    <xf numFmtId="3" fontId="0" fillId="0" borderId="0" xfId="0" applyNumberFormat="1" applyFill="1" applyBorder="1" applyAlignment="1">
      <alignment horizontal="center"/>
    </xf>
    <xf numFmtId="3" fontId="0" fillId="0" borderId="13" xfId="0" applyNumberFormat="1" applyFont="1" applyFill="1" applyBorder="1" applyAlignment="1">
      <alignment horizontal="center"/>
    </xf>
    <xf numFmtId="3" fontId="0" fillId="0" borderId="13" xfId="0" applyNumberFormat="1" applyFill="1" applyBorder="1" applyAlignment="1">
      <alignment horizontal="center"/>
    </xf>
    <xf numFmtId="3" fontId="28" fillId="13" borderId="13" xfId="0" applyNumberFormat="1" applyFont="1" applyFill="1" applyBorder="1" applyAlignment="1">
      <alignment horizontal="center"/>
    </xf>
    <xf numFmtId="166" fontId="8" fillId="11" borderId="35" xfId="2" applyNumberFormat="1" applyFont="1" applyFill="1" applyBorder="1" applyAlignment="1">
      <alignment wrapText="1"/>
    </xf>
    <xf numFmtId="0" fontId="16" fillId="11" borderId="0" xfId="0" applyNumberFormat="1" applyFont="1" applyFill="1" applyBorder="1" applyAlignment="1" applyProtection="1"/>
    <xf numFmtId="0" fontId="0" fillId="11" borderId="0" xfId="0" applyFill="1"/>
    <xf numFmtId="3" fontId="15" fillId="0" borderId="0" xfId="0" applyNumberFormat="1" applyFont="1" applyFill="1" applyBorder="1" applyAlignment="1">
      <alignment horizontal="center" vertical="top"/>
    </xf>
    <xf numFmtId="0" fontId="15" fillId="11" borderId="41" xfId="0" applyFont="1" applyFill="1" applyBorder="1" applyAlignment="1">
      <alignment horizontal="center" vertical="top"/>
    </xf>
    <xf numFmtId="0" fontId="56" fillId="3" borderId="2"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4" fillId="11" borderId="4" xfId="0" applyFont="1" applyFill="1" applyBorder="1" applyAlignment="1">
      <alignment horizontal="left" vertical="center" wrapText="1"/>
    </xf>
    <xf numFmtId="2" fontId="2" fillId="4" borderId="2" xfId="0" applyNumberFormat="1" applyFont="1" applyFill="1" applyBorder="1" applyAlignment="1">
      <alignment horizontal="center" vertical="center" wrapText="1"/>
    </xf>
    <xf numFmtId="0" fontId="9" fillId="0" borderId="1" xfId="0" applyFont="1" applyFill="1" applyBorder="1" applyAlignment="1">
      <alignment horizontal="center" vertical="top" wrapText="1" readingOrder="1"/>
    </xf>
    <xf numFmtId="0" fontId="10" fillId="0" borderId="0" xfId="0" applyFont="1" applyFill="1"/>
    <xf numFmtId="0" fontId="10" fillId="0" borderId="0" xfId="0" applyFont="1" applyFill="1" applyAlignment="1">
      <alignment horizontal="center"/>
    </xf>
    <xf numFmtId="0" fontId="12" fillId="0" borderId="0" xfId="0" applyFont="1" applyFill="1"/>
    <xf numFmtId="0" fontId="13" fillId="0" borderId="0" xfId="0" applyFont="1" applyFill="1" applyAlignment="1">
      <alignment horizontal="center"/>
    </xf>
    <xf numFmtId="0" fontId="13" fillId="0" borderId="0" xfId="0" applyFont="1" applyFill="1"/>
    <xf numFmtId="0" fontId="9" fillId="0" borderId="1" xfId="0" applyFont="1" applyFill="1" applyBorder="1" applyAlignment="1">
      <alignment horizontal="center" vertical="top" wrapText="1"/>
    </xf>
    <xf numFmtId="9" fontId="9" fillId="0" borderId="1" xfId="5" applyFont="1" applyFill="1" applyBorder="1" applyAlignment="1">
      <alignment horizontal="center" vertical="top"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center" vertical="top" wrapText="1" readingOrder="1"/>
    </xf>
    <xf numFmtId="9" fontId="9" fillId="0" borderId="1" xfId="5" applyFont="1" applyFill="1" applyBorder="1" applyAlignment="1">
      <alignment horizontal="center" vertical="top" wrapText="1" readingOrder="1"/>
    </xf>
    <xf numFmtId="0" fontId="56" fillId="3" borderId="2" xfId="0"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2" fontId="12" fillId="0" borderId="0" xfId="0" applyNumberFormat="1" applyFont="1" applyFill="1" applyAlignment="1">
      <alignment horizontal="center"/>
    </xf>
    <xf numFmtId="172" fontId="12" fillId="0" borderId="0" xfId="0" applyNumberFormat="1" applyFont="1" applyFill="1" applyAlignment="1">
      <alignment horizontal="center"/>
    </xf>
    <xf numFmtId="1" fontId="12" fillId="0" borderId="0" xfId="0" applyNumberFormat="1" applyFont="1" applyFill="1" applyAlignment="1">
      <alignment horizontal="center"/>
    </xf>
    <xf numFmtId="0" fontId="9" fillId="0" borderId="0" xfId="0" applyFont="1" applyFill="1" applyBorder="1" applyAlignment="1">
      <alignment horizontal="left" vertical="top" wrapText="1" readingOrder="1"/>
    </xf>
    <xf numFmtId="0" fontId="9" fillId="0" borderId="0" xfId="0" applyFont="1" applyFill="1" applyBorder="1" applyAlignment="1">
      <alignment horizontal="center" vertical="top" wrapText="1" readingOrder="1"/>
    </xf>
    <xf numFmtId="0" fontId="9" fillId="0" borderId="0" xfId="0" applyFont="1" applyFill="1" applyBorder="1" applyAlignment="1">
      <alignment horizontal="center" vertical="top" wrapText="1"/>
    </xf>
    <xf numFmtId="9" fontId="9" fillId="0" borderId="0" xfId="5" applyFont="1" applyFill="1" applyBorder="1" applyAlignment="1">
      <alignment horizontal="center" vertical="top" wrapText="1" readingOrder="1"/>
    </xf>
    <xf numFmtId="0" fontId="0" fillId="3" borderId="0" xfId="0" applyFill="1" applyAlignment="1">
      <alignment vertical="center" wrapText="1"/>
    </xf>
    <xf numFmtId="0" fontId="0" fillId="4" borderId="0" xfId="0" applyFill="1" applyAlignment="1">
      <alignment vertical="center" wrapText="1"/>
    </xf>
    <xf numFmtId="0" fontId="9" fillId="5" borderId="8" xfId="0" applyFont="1" applyFill="1" applyBorder="1" applyAlignment="1">
      <alignment horizontal="center" vertical="top" wrapText="1" readingOrder="1"/>
    </xf>
    <xf numFmtId="0" fontId="9" fillId="5" borderId="83" xfId="0" applyFont="1" applyFill="1" applyBorder="1" applyAlignment="1">
      <alignment horizontal="center" vertical="top" wrapText="1" readingOrder="1"/>
    </xf>
    <xf numFmtId="0" fontId="9" fillId="5" borderId="84" xfId="0" applyFont="1" applyFill="1" applyBorder="1" applyAlignment="1">
      <alignment horizontal="center" vertical="top" wrapText="1" readingOrder="1"/>
    </xf>
    <xf numFmtId="0" fontId="6" fillId="0" borderId="0" xfId="0" applyFont="1" applyAlignment="1">
      <alignment horizontal="center"/>
    </xf>
    <xf numFmtId="0" fontId="0" fillId="0" borderId="0" xfId="0" applyAlignment="1">
      <alignment horizontal="center"/>
    </xf>
    <xf numFmtId="0" fontId="9" fillId="2" borderId="6"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0" borderId="8" xfId="0" applyFont="1" applyFill="1" applyBorder="1" applyAlignment="1">
      <alignment horizontal="center" vertical="top" wrapText="1" readingOrder="1"/>
    </xf>
    <xf numFmtId="0" fontId="9" fillId="0" borderId="83" xfId="0" applyFont="1" applyFill="1" applyBorder="1" applyAlignment="1">
      <alignment horizontal="center" vertical="top" wrapText="1" readingOrder="1"/>
    </xf>
    <xf numFmtId="0" fontId="9" fillId="0" borderId="84" xfId="0" applyFont="1" applyFill="1" applyBorder="1" applyAlignment="1">
      <alignment horizontal="center" vertical="top" wrapText="1" readingOrder="1"/>
    </xf>
    <xf numFmtId="0" fontId="6" fillId="0" borderId="0" xfId="0" applyFont="1" applyAlignment="1">
      <alignment horizontal="center" vertical="center" wrapText="1"/>
    </xf>
    <xf numFmtId="0" fontId="0" fillId="0" borderId="0" xfId="0" applyAlignment="1">
      <alignment horizontal="center" vertical="center" wrapText="1"/>
    </xf>
    <xf numFmtId="0" fontId="2" fillId="4" borderId="7" xfId="0" applyFont="1" applyFill="1" applyBorder="1" applyAlignment="1">
      <alignment horizontal="left" vertical="center" wrapText="1"/>
    </xf>
    <xf numFmtId="0" fontId="2" fillId="4" borderId="85" xfId="0" applyFont="1" applyFill="1" applyBorder="1" applyAlignment="1">
      <alignment horizontal="left" vertical="center" wrapText="1"/>
    </xf>
    <xf numFmtId="0" fontId="2" fillId="4" borderId="86" xfId="0" applyFont="1" applyFill="1" applyBorder="1" applyAlignment="1">
      <alignment horizontal="left" vertical="center" wrapText="1"/>
    </xf>
    <xf numFmtId="6" fontId="2" fillId="4" borderId="7" xfId="0" applyNumberFormat="1" applyFont="1" applyFill="1" applyBorder="1" applyAlignment="1">
      <alignment horizontal="center" vertical="center" wrapText="1"/>
    </xf>
    <xf numFmtId="0" fontId="0" fillId="0" borderId="86" xfId="0" applyBorder="1"/>
    <xf numFmtId="0" fontId="1" fillId="2" borderId="87" xfId="0" applyFont="1" applyFill="1" applyBorder="1" applyAlignment="1">
      <alignment horizontal="center" vertical="center" wrapText="1"/>
    </xf>
    <xf numFmtId="0" fontId="1" fillId="2" borderId="88" xfId="0" applyFont="1" applyFill="1" applyBorder="1" applyAlignment="1">
      <alignment horizontal="center" vertical="center" wrapText="1"/>
    </xf>
    <xf numFmtId="0" fontId="1" fillId="2" borderId="8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84" xfId="0" applyBorder="1"/>
    <xf numFmtId="0" fontId="2" fillId="4" borderId="6" xfId="0" applyFont="1" applyFill="1" applyBorder="1" applyAlignment="1">
      <alignment horizontal="left" vertical="center" wrapText="1"/>
    </xf>
    <xf numFmtId="0" fontId="2" fillId="4" borderId="81" xfId="0" applyFont="1" applyFill="1" applyBorder="1" applyAlignment="1">
      <alignment horizontal="left" vertical="center" wrapText="1"/>
    </xf>
    <xf numFmtId="0" fontId="2" fillId="4" borderId="8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83" xfId="0" applyFont="1" applyFill="1" applyBorder="1" applyAlignment="1">
      <alignment horizontal="left" vertical="center" wrapText="1"/>
    </xf>
    <xf numFmtId="0" fontId="2" fillId="3" borderId="84" xfId="0" applyFont="1" applyFill="1" applyBorder="1" applyAlignment="1">
      <alignment horizontal="left" vertical="center" wrapText="1"/>
    </xf>
    <xf numFmtId="6" fontId="2" fillId="3" borderId="8" xfId="0" applyNumberFormat="1"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81" xfId="0" applyFont="1" applyFill="1" applyBorder="1" applyAlignment="1">
      <alignment horizontal="left" vertical="center" wrapText="1"/>
    </xf>
    <xf numFmtId="0" fontId="2" fillId="3" borderId="82" xfId="0" applyFont="1" applyFill="1" applyBorder="1" applyAlignment="1">
      <alignment horizontal="left" vertical="center" wrapText="1"/>
    </xf>
    <xf numFmtId="1" fontId="2" fillId="3" borderId="6" xfId="0" applyNumberFormat="1" applyFont="1" applyFill="1" applyBorder="1" applyAlignment="1">
      <alignment horizontal="center" vertical="center" wrapText="1"/>
    </xf>
    <xf numFmtId="0" fontId="0" fillId="0" borderId="82" xfId="0" applyBorder="1"/>
    <xf numFmtId="1" fontId="2" fillId="4" borderId="6" xfId="0" applyNumberFormat="1" applyFont="1" applyFill="1" applyBorder="1" applyAlignment="1">
      <alignment horizontal="center" vertical="center" wrapText="1"/>
    </xf>
    <xf numFmtId="172" fontId="2" fillId="3" borderId="6" xfId="0" applyNumberFormat="1" applyFont="1" applyFill="1" applyBorder="1" applyAlignment="1">
      <alignment horizontal="center" vertical="center" wrapText="1"/>
    </xf>
    <xf numFmtId="172" fontId="0" fillId="0" borderId="82" xfId="0" applyNumberFormat="1" applyBorder="1"/>
    <xf numFmtId="6" fontId="56" fillId="3" borderId="8" xfId="0" applyNumberFormat="1" applyFont="1" applyFill="1" applyBorder="1" applyAlignment="1">
      <alignment horizontal="center" vertical="center" wrapText="1"/>
    </xf>
    <xf numFmtId="0" fontId="16" fillId="0" borderId="84" xfId="0" applyFont="1" applyBorder="1"/>
    <xf numFmtId="2" fontId="2" fillId="3" borderId="6" xfId="0" applyNumberFormat="1" applyFont="1" applyFill="1" applyBorder="1" applyAlignment="1">
      <alignment horizontal="center" vertical="center" wrapText="1"/>
    </xf>
    <xf numFmtId="2" fontId="0" fillId="0" borderId="82" xfId="0" applyNumberFormat="1" applyBorder="1"/>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170" fontId="30" fillId="0" borderId="0" xfId="3" applyNumberFormat="1" applyFont="1" applyBorder="1" applyAlignment="1">
      <alignment horizontal="center"/>
    </xf>
    <xf numFmtId="0" fontId="0" fillId="0" borderId="0" xfId="0" applyFont="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170" fontId="0" fillId="0" borderId="20" xfId="0" applyNumberFormat="1" applyBorder="1" applyAlignment="1">
      <alignment horizontal="center" vertical="center"/>
    </xf>
    <xf numFmtId="170" fontId="0" fillId="0" borderId="0" xfId="0" applyNumberFormat="1" applyBorder="1" applyAlignment="1">
      <alignment horizontal="center" vertical="center"/>
    </xf>
    <xf numFmtId="170" fontId="0" fillId="0" borderId="9" xfId="0" applyNumberFormat="1" applyBorder="1" applyAlignment="1">
      <alignment horizontal="center" vertical="center"/>
    </xf>
    <xf numFmtId="0" fontId="7" fillId="0" borderId="72" xfId="0" applyFont="1" applyFill="1" applyBorder="1" applyAlignment="1">
      <alignment wrapText="1"/>
    </xf>
    <xf numFmtId="0" fontId="0" fillId="0" borderId="41" xfId="0" applyFill="1" applyBorder="1" applyAlignment="1">
      <alignment wrapText="1"/>
    </xf>
    <xf numFmtId="0" fontId="0" fillId="0" borderId="73" xfId="0" applyFill="1" applyBorder="1" applyAlignment="1">
      <alignment wrapText="1"/>
    </xf>
    <xf numFmtId="0" fontId="0" fillId="0" borderId="0" xfId="0" applyAlignment="1">
      <alignment wrapText="1"/>
    </xf>
    <xf numFmtId="0" fontId="0" fillId="0" borderId="0" xfId="0" applyFont="1" applyAlignment="1">
      <alignment wrapText="1"/>
    </xf>
    <xf numFmtId="0" fontId="21" fillId="0" borderId="41" xfId="0" applyFont="1" applyFill="1" applyBorder="1" applyAlignment="1">
      <alignment horizontal="right" wrapText="1"/>
    </xf>
    <xf numFmtId="0" fontId="21" fillId="0" borderId="91" xfId="0" applyFont="1" applyFill="1" applyBorder="1" applyAlignment="1">
      <alignment horizontal="center"/>
    </xf>
    <xf numFmtId="0" fontId="21" fillId="0" borderId="70" xfId="0" applyFont="1" applyFill="1" applyBorder="1" applyAlignment="1">
      <alignment horizontal="center"/>
    </xf>
    <xf numFmtId="0" fontId="23" fillId="0" borderId="40" xfId="0" applyFont="1" applyFill="1" applyBorder="1" applyAlignment="1">
      <alignment horizontal="center"/>
    </xf>
    <xf numFmtId="0" fontId="22" fillId="0" borderId="40" xfId="0" applyFont="1" applyFill="1" applyBorder="1"/>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90" xfId="0" applyFont="1" applyFill="1" applyBorder="1" applyAlignment="1">
      <alignment horizontal="center"/>
    </xf>
    <xf numFmtId="0" fontId="21" fillId="0" borderId="92" xfId="0" applyFont="1" applyFill="1" applyBorder="1" applyAlignment="1">
      <alignment horizontal="center"/>
    </xf>
    <xf numFmtId="0" fontId="21" fillId="0" borderId="41" xfId="0" applyFont="1" applyFill="1" applyBorder="1" applyAlignment="1">
      <alignment horizontal="center" wrapText="1"/>
    </xf>
    <xf numFmtId="0" fontId="21" fillId="0" borderId="41" xfId="0" applyFont="1" applyFill="1" applyBorder="1" applyAlignment="1">
      <alignment horizontal="center"/>
    </xf>
    <xf numFmtId="0" fontId="21" fillId="0" borderId="91" xfId="0" applyFont="1" applyFill="1" applyBorder="1" applyAlignment="1">
      <alignment horizontal="right" wrapText="1"/>
    </xf>
    <xf numFmtId="0" fontId="21" fillId="0" borderId="93" xfId="0" applyFont="1" applyFill="1" applyBorder="1" applyAlignment="1">
      <alignment horizontal="right" wrapText="1"/>
    </xf>
  </cellXfs>
  <cellStyles count="7">
    <cellStyle name="Comma" xfId="1" builtinId="3"/>
    <cellStyle name="Currency" xfId="2" builtinId="4"/>
    <cellStyle name="Explanatory Text" xfId="3" builtinId="53"/>
    <cellStyle name="Normal" xfId="0" builtinId="0"/>
    <cellStyle name="Normal 2" xfId="4"/>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0</xdr:row>
      <xdr:rowOff>152400</xdr:rowOff>
    </xdr:from>
    <xdr:to>
      <xdr:col>4</xdr:col>
      <xdr:colOff>1019175</xdr:colOff>
      <xdr:row>4</xdr:row>
      <xdr:rowOff>66675</xdr:rowOff>
    </xdr:to>
    <xdr:pic>
      <xdr:nvPicPr>
        <xdr:cNvPr id="5121" name="Picture 1" descr="ftwaynelogo"/>
        <xdr:cNvPicPr>
          <a:picLocks noChangeAspect="1" noChangeArrowheads="1"/>
        </xdr:cNvPicPr>
      </xdr:nvPicPr>
      <xdr:blipFill>
        <a:blip xmlns:r="http://schemas.openxmlformats.org/officeDocument/2006/relationships" r:embed="rId1" cstate="print"/>
        <a:srcRect/>
        <a:stretch>
          <a:fillRect/>
        </a:stretch>
      </xdr:blipFill>
      <xdr:spPr bwMode="auto">
        <a:xfrm>
          <a:off x="6667500" y="85725"/>
          <a:ext cx="962025" cy="952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0</xdr:row>
      <xdr:rowOff>152400</xdr:rowOff>
    </xdr:from>
    <xdr:to>
      <xdr:col>4</xdr:col>
      <xdr:colOff>1019175</xdr:colOff>
      <xdr:row>4</xdr:row>
      <xdr:rowOff>66675</xdr:rowOff>
    </xdr:to>
    <xdr:pic>
      <xdr:nvPicPr>
        <xdr:cNvPr id="6145" name="Picture 1" descr="ftwaynelogo"/>
        <xdr:cNvPicPr>
          <a:picLocks noChangeAspect="1" noChangeArrowheads="1"/>
        </xdr:cNvPicPr>
      </xdr:nvPicPr>
      <xdr:blipFill>
        <a:blip xmlns:r="http://schemas.openxmlformats.org/officeDocument/2006/relationships" r:embed="rId1" cstate="print"/>
        <a:srcRect/>
        <a:stretch>
          <a:fillRect/>
        </a:stretch>
      </xdr:blipFill>
      <xdr:spPr bwMode="auto">
        <a:xfrm>
          <a:off x="6667500" y="85725"/>
          <a:ext cx="962025" cy="952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514350</xdr:colOff>
      <xdr:row>1</xdr:row>
      <xdr:rowOff>152400</xdr:rowOff>
    </xdr:from>
    <xdr:to>
      <xdr:col>9</xdr:col>
      <xdr:colOff>314325</xdr:colOff>
      <xdr:row>5</xdr:row>
      <xdr:rowOff>95250</xdr:rowOff>
    </xdr:to>
    <xdr:pic>
      <xdr:nvPicPr>
        <xdr:cNvPr id="7169" name="Picture 2" descr="ftwaynelogo"/>
        <xdr:cNvPicPr>
          <a:picLocks noChangeAspect="1" noChangeArrowheads="1"/>
        </xdr:cNvPicPr>
      </xdr:nvPicPr>
      <xdr:blipFill>
        <a:blip xmlns:r="http://schemas.openxmlformats.org/officeDocument/2006/relationships" r:embed="rId1" cstate="print"/>
        <a:srcRect/>
        <a:stretch>
          <a:fillRect/>
        </a:stretch>
      </xdr:blipFill>
      <xdr:spPr bwMode="auto">
        <a:xfrm>
          <a:off x="10744200" y="342900"/>
          <a:ext cx="981075" cy="1028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514350</xdr:colOff>
      <xdr:row>1</xdr:row>
      <xdr:rowOff>152400</xdr:rowOff>
    </xdr:from>
    <xdr:to>
      <xdr:col>9</xdr:col>
      <xdr:colOff>314325</xdr:colOff>
      <xdr:row>5</xdr:row>
      <xdr:rowOff>95250</xdr:rowOff>
    </xdr:to>
    <xdr:pic>
      <xdr:nvPicPr>
        <xdr:cNvPr id="8193" name="Picture 2" descr="ftwaynelogo"/>
        <xdr:cNvPicPr>
          <a:picLocks noChangeAspect="1" noChangeArrowheads="1"/>
        </xdr:cNvPicPr>
      </xdr:nvPicPr>
      <xdr:blipFill>
        <a:blip xmlns:r="http://schemas.openxmlformats.org/officeDocument/2006/relationships" r:embed="rId1" cstate="print"/>
        <a:srcRect/>
        <a:stretch>
          <a:fillRect/>
        </a:stretch>
      </xdr:blipFill>
      <xdr:spPr bwMode="auto">
        <a:xfrm>
          <a:off x="10744200" y="342900"/>
          <a:ext cx="981075" cy="1028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514350</xdr:colOff>
      <xdr:row>1</xdr:row>
      <xdr:rowOff>152400</xdr:rowOff>
    </xdr:from>
    <xdr:to>
      <xdr:col>9</xdr:col>
      <xdr:colOff>314325</xdr:colOff>
      <xdr:row>5</xdr:row>
      <xdr:rowOff>95250</xdr:rowOff>
    </xdr:to>
    <xdr:pic>
      <xdr:nvPicPr>
        <xdr:cNvPr id="9217" name="Picture 2" descr="ftwaynelogo"/>
        <xdr:cNvPicPr>
          <a:picLocks noChangeAspect="1" noChangeArrowheads="1"/>
        </xdr:cNvPicPr>
      </xdr:nvPicPr>
      <xdr:blipFill>
        <a:blip xmlns:r="http://schemas.openxmlformats.org/officeDocument/2006/relationships" r:embed="rId1" cstate="print"/>
        <a:srcRect/>
        <a:stretch>
          <a:fillRect/>
        </a:stretch>
      </xdr:blipFill>
      <xdr:spPr bwMode="auto">
        <a:xfrm>
          <a:off x="10744200" y="342900"/>
          <a:ext cx="981075" cy="10287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514350</xdr:colOff>
      <xdr:row>1</xdr:row>
      <xdr:rowOff>152400</xdr:rowOff>
    </xdr:from>
    <xdr:to>
      <xdr:col>8</xdr:col>
      <xdr:colOff>314325</xdr:colOff>
      <xdr:row>5</xdr:row>
      <xdr:rowOff>95250</xdr:rowOff>
    </xdr:to>
    <xdr:pic>
      <xdr:nvPicPr>
        <xdr:cNvPr id="10241" name="Picture 2" descr="ftwaynelogo"/>
        <xdr:cNvPicPr>
          <a:picLocks noChangeAspect="1" noChangeArrowheads="1"/>
        </xdr:cNvPicPr>
      </xdr:nvPicPr>
      <xdr:blipFill>
        <a:blip xmlns:r="http://schemas.openxmlformats.org/officeDocument/2006/relationships" r:embed="rId1" cstate="print"/>
        <a:srcRect/>
        <a:stretch>
          <a:fillRect/>
        </a:stretch>
      </xdr:blipFill>
      <xdr:spPr bwMode="auto">
        <a:xfrm>
          <a:off x="8791575" y="342900"/>
          <a:ext cx="981075" cy="10287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514350</xdr:colOff>
      <xdr:row>1</xdr:row>
      <xdr:rowOff>152400</xdr:rowOff>
    </xdr:from>
    <xdr:to>
      <xdr:col>8</xdr:col>
      <xdr:colOff>314325</xdr:colOff>
      <xdr:row>5</xdr:row>
      <xdr:rowOff>95250</xdr:rowOff>
    </xdr:to>
    <xdr:pic>
      <xdr:nvPicPr>
        <xdr:cNvPr id="11265" name="Picture 2" descr="ftwaynelogo"/>
        <xdr:cNvPicPr>
          <a:picLocks noChangeAspect="1" noChangeArrowheads="1"/>
        </xdr:cNvPicPr>
      </xdr:nvPicPr>
      <xdr:blipFill>
        <a:blip xmlns:r="http://schemas.openxmlformats.org/officeDocument/2006/relationships" r:embed="rId1" cstate="print"/>
        <a:srcRect/>
        <a:stretch>
          <a:fillRect/>
        </a:stretch>
      </xdr:blipFill>
      <xdr:spPr bwMode="auto">
        <a:xfrm>
          <a:off x="8791575" y="342900"/>
          <a:ext cx="981075" cy="10287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40</xdr:row>
      <xdr:rowOff>47625</xdr:rowOff>
    </xdr:from>
    <xdr:to>
      <xdr:col>5</xdr:col>
      <xdr:colOff>868680</xdr:colOff>
      <xdr:row>50</xdr:row>
      <xdr:rowOff>148167</xdr:rowOff>
    </xdr:to>
    <xdr:sp macro="" textlink="">
      <xdr:nvSpPr>
        <xdr:cNvPr id="2" name="TextBox 1"/>
        <xdr:cNvSpPr txBox="1"/>
      </xdr:nvSpPr>
      <xdr:spPr>
        <a:xfrm>
          <a:off x="676275" y="4596765"/>
          <a:ext cx="4337685" cy="1929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Derivation of CO</a:t>
          </a:r>
          <a:r>
            <a:rPr lang="en-US" sz="1100" b="1" baseline="-25000">
              <a:solidFill>
                <a:schemeClr val="dk1"/>
              </a:solidFill>
              <a:latin typeface="+mn-lt"/>
              <a:ea typeface="+mn-ea"/>
              <a:cs typeface="+mn-cs"/>
            </a:rPr>
            <a:t>2</a:t>
          </a:r>
          <a:r>
            <a:rPr lang="en-US" sz="1100" b="1">
              <a:solidFill>
                <a:schemeClr val="dk1"/>
              </a:solidFill>
              <a:latin typeface="+mn-lt"/>
              <a:ea typeface="+mn-ea"/>
              <a:cs typeface="+mn-cs"/>
            </a:rPr>
            <a:t>e</a:t>
          </a:r>
          <a:r>
            <a:rPr lang="en-US" sz="1100" b="1" baseline="0">
              <a:solidFill>
                <a:schemeClr val="dk1"/>
              </a:solidFill>
              <a:latin typeface="+mn-lt"/>
              <a:ea typeface="+mn-ea"/>
              <a:cs typeface="+mn-cs"/>
            </a:rPr>
            <a:t> emission factor for electrical power generation:</a:t>
          </a:r>
          <a:endParaRPr lang="en-US" sz="1100" b="1">
            <a:solidFill>
              <a:schemeClr val="dk1"/>
            </a:solidFill>
            <a:latin typeface="+mn-lt"/>
            <a:ea typeface="+mn-ea"/>
            <a:cs typeface="+mn-cs"/>
          </a:endParaRPr>
        </a:p>
        <a:p>
          <a:endParaRPr lang="en-US" sz="400"/>
        </a:p>
        <a:p>
          <a:r>
            <a:rPr lang="en-US" sz="1100"/>
            <a:t>CO</a:t>
          </a:r>
          <a:r>
            <a:rPr lang="en-US" sz="1100" baseline="-25000"/>
            <a:t>2</a:t>
          </a:r>
          <a:r>
            <a:rPr lang="en-US" sz="1100"/>
            <a:t>e</a:t>
          </a:r>
          <a:r>
            <a:rPr lang="en-US" sz="1100" baseline="0"/>
            <a:t> for IN electricity = </a:t>
          </a:r>
        </a:p>
        <a:p>
          <a:endParaRPr lang="en-US" sz="400" baseline="0"/>
        </a:p>
        <a:p>
          <a:pPr lvl="1"/>
          <a:r>
            <a:rPr lang="en-US" sz="1100" baseline="0"/>
            <a:t>for  CO</a:t>
          </a:r>
          <a:r>
            <a:rPr lang="en-US" sz="1100" baseline="-25000"/>
            <a:t>2</a:t>
          </a:r>
          <a:r>
            <a:rPr lang="en-US" sz="1100" baseline="0"/>
            <a:t> = MWh x 0.782</a:t>
          </a:r>
        </a:p>
        <a:p>
          <a:pPr lvl="1"/>
          <a:r>
            <a:rPr lang="en-US" sz="1100" baseline="0"/>
            <a:t>+</a:t>
          </a:r>
        </a:p>
        <a:p>
          <a:pPr lvl="1"/>
          <a:r>
            <a:rPr lang="en-US" sz="1100" baseline="0"/>
            <a:t>for CH</a:t>
          </a:r>
          <a:r>
            <a:rPr lang="en-US" sz="1100" baseline="-25000"/>
            <a:t>4</a:t>
          </a:r>
          <a:r>
            <a:rPr lang="en-US" sz="1100" baseline="0"/>
            <a:t> = MWh x (0.01404/1000) x 25 (</a:t>
          </a:r>
          <a:r>
            <a:rPr lang="en-US" sz="1100" baseline="0">
              <a:solidFill>
                <a:schemeClr val="dk1"/>
              </a:solidFill>
              <a:latin typeface="+mn-lt"/>
              <a:ea typeface="+mn-ea"/>
              <a:cs typeface="+mn-cs"/>
            </a:rPr>
            <a:t>CH</a:t>
          </a:r>
          <a:r>
            <a:rPr lang="en-US" sz="1100" baseline="-25000">
              <a:solidFill>
                <a:schemeClr val="dk1"/>
              </a:solidFill>
              <a:latin typeface="+mn-lt"/>
              <a:ea typeface="+mn-ea"/>
              <a:cs typeface="+mn-cs"/>
            </a:rPr>
            <a:t>4 </a:t>
          </a:r>
          <a:r>
            <a:rPr lang="en-US" sz="1100" baseline="0"/>
            <a:t>AR4 GWP)</a:t>
          </a:r>
        </a:p>
        <a:p>
          <a:pPr lvl="1"/>
          <a:r>
            <a:rPr lang="en-US" sz="1100" baseline="0"/>
            <a:t>+</a:t>
          </a:r>
        </a:p>
        <a:p>
          <a:pPr lvl="1"/>
          <a:r>
            <a:rPr lang="en-US" sz="1100" baseline="0"/>
            <a:t>For N</a:t>
          </a:r>
          <a:r>
            <a:rPr lang="en-US" sz="1100" baseline="-25000"/>
            <a:t>2</a:t>
          </a:r>
          <a:r>
            <a:rPr lang="en-US" sz="1100" baseline="0"/>
            <a:t>O = MWh x (0.01281/1000) x 298 (</a:t>
          </a:r>
          <a:r>
            <a:rPr lang="en-US" sz="1100" baseline="0">
              <a:solidFill>
                <a:schemeClr val="dk1"/>
              </a:solidFill>
              <a:latin typeface="+mn-lt"/>
              <a:ea typeface="+mn-ea"/>
              <a:cs typeface="+mn-cs"/>
            </a:rPr>
            <a:t>N</a:t>
          </a:r>
          <a:r>
            <a:rPr lang="en-US" sz="1100" baseline="-25000">
              <a:solidFill>
                <a:schemeClr val="dk1"/>
              </a:solidFill>
              <a:latin typeface="+mn-lt"/>
              <a:ea typeface="+mn-ea"/>
              <a:cs typeface="+mn-cs"/>
            </a:rPr>
            <a:t>2</a:t>
          </a:r>
          <a:r>
            <a:rPr lang="en-US" sz="1100" baseline="0">
              <a:solidFill>
                <a:schemeClr val="dk1"/>
              </a:solidFill>
              <a:latin typeface="+mn-lt"/>
              <a:ea typeface="+mn-ea"/>
              <a:cs typeface="+mn-cs"/>
            </a:rPr>
            <a:t>O </a:t>
          </a:r>
          <a:r>
            <a:rPr lang="en-US" sz="1100" baseline="0"/>
            <a:t>AR4 GWP)</a:t>
          </a:r>
        </a:p>
        <a:p>
          <a:pPr lvl="1"/>
          <a:r>
            <a:rPr lang="en-US" sz="1100" baseline="0"/>
            <a:t>=</a:t>
          </a:r>
        </a:p>
        <a:p>
          <a:pPr lvl="1"/>
          <a:r>
            <a:rPr lang="en-US" sz="1100" baseline="0"/>
            <a:t>0.78617 MT CO</a:t>
          </a:r>
          <a:r>
            <a:rPr lang="en-US" sz="1100" baseline="-25000"/>
            <a:t>2</a:t>
          </a:r>
          <a:r>
            <a:rPr lang="en-US" sz="1100" baseline="0"/>
            <a:t>e from Scope 2 electrical use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52"/>
  <sheetViews>
    <sheetView showGridLines="0" topLeftCell="A19" zoomScale="75" zoomScaleNormal="75" zoomScaleSheetLayoutView="90" workbookViewId="0">
      <selection activeCell="B43" sqref="B43"/>
    </sheetView>
  </sheetViews>
  <sheetFormatPr defaultRowHeight="15" x14ac:dyDescent="0.25"/>
  <cols>
    <col min="1" max="1" width="4.28515625" customWidth="1"/>
    <col min="2" max="2" width="60" customWidth="1"/>
    <col min="3" max="3" width="17.42578125" customWidth="1"/>
    <col min="4" max="5" width="17.42578125" style="31" customWidth="1"/>
    <col min="6" max="6" width="6" customWidth="1"/>
  </cols>
  <sheetData>
    <row r="1" spans="2:5" ht="7.15" customHeight="1" x14ac:dyDescent="0.25"/>
    <row r="2" spans="2:5" ht="23.25" x14ac:dyDescent="0.35">
      <c r="B2" s="407" t="s">
        <v>40</v>
      </c>
      <c r="C2" s="407"/>
      <c r="D2" s="407"/>
    </row>
    <row r="3" spans="2:5" ht="23.25" x14ac:dyDescent="0.35">
      <c r="B3" s="407" t="s">
        <v>39</v>
      </c>
      <c r="C3" s="407"/>
      <c r="D3" s="407"/>
    </row>
    <row r="4" spans="2:5" ht="23.25" x14ac:dyDescent="0.35">
      <c r="B4" s="407" t="s">
        <v>38</v>
      </c>
      <c r="C4" s="407"/>
      <c r="D4" s="407"/>
    </row>
    <row r="5" spans="2:5" ht="15.75" thickBot="1" x14ac:dyDescent="0.3">
      <c r="B5" s="408"/>
      <c r="C5" s="408"/>
      <c r="D5" s="408"/>
    </row>
    <row r="6" spans="2:5" s="33" customFormat="1" ht="42.6" customHeight="1" thickBot="1" x14ac:dyDescent="0.35">
      <c r="B6" s="32" t="s">
        <v>37</v>
      </c>
      <c r="C6" s="409" t="str">
        <f>'Alternative No. 0'!D6</f>
        <v>Sub-Basin XXXXX</v>
      </c>
      <c r="D6" s="410"/>
      <c r="E6" s="411"/>
    </row>
    <row r="7" spans="2:5" s="35" customFormat="1" ht="15.6" customHeight="1" thickTop="1" thickBot="1" x14ac:dyDescent="0.3">
      <c r="B7" s="34"/>
      <c r="C7" s="34"/>
      <c r="D7" s="34"/>
      <c r="E7" s="34"/>
    </row>
    <row r="8" spans="2:5" s="33" customFormat="1" ht="19.5" thickBot="1" x14ac:dyDescent="0.35">
      <c r="B8" s="36" t="str">
        <f>'Alternative No. 0'!C7</f>
        <v>Alternative No. 0</v>
      </c>
      <c r="C8" s="404" t="str">
        <f>'Alternative No. 0'!D7</f>
        <v>XXXXX</v>
      </c>
      <c r="D8" s="405"/>
      <c r="E8" s="406"/>
    </row>
    <row r="9" spans="2:5" s="33" customFormat="1" ht="19.5" thickTop="1" x14ac:dyDescent="0.3">
      <c r="B9" s="37" t="s">
        <v>36</v>
      </c>
      <c r="D9" s="38">
        <f>'Alternative No. 0'!$H$10</f>
        <v>0</v>
      </c>
      <c r="E9" s="39"/>
    </row>
    <row r="10" spans="2:5" s="33" customFormat="1" ht="18.75" x14ac:dyDescent="0.3">
      <c r="B10" s="37" t="s">
        <v>34</v>
      </c>
      <c r="D10" s="38">
        <f>'Alternative No. 0'!$H$11</f>
        <v>0</v>
      </c>
      <c r="E10" s="39"/>
    </row>
    <row r="11" spans="2:5" s="33" customFormat="1" ht="18.75" x14ac:dyDescent="0.3">
      <c r="B11" s="37" t="s">
        <v>33</v>
      </c>
      <c r="D11" s="38">
        <f>'Alternative No. 0'!$H$12</f>
        <v>0</v>
      </c>
      <c r="E11" s="39"/>
    </row>
    <row r="12" spans="2:5" s="33" customFormat="1" ht="18.75" x14ac:dyDescent="0.3">
      <c r="B12" s="37" t="s">
        <v>73</v>
      </c>
      <c r="C12" s="40"/>
      <c r="D12" s="397">
        <f>'Alternative No. 0'!$H$13</f>
        <v>0</v>
      </c>
      <c r="E12" s="41"/>
    </row>
    <row r="13" spans="2:5" s="33" customFormat="1" ht="18.75" x14ac:dyDescent="0.3">
      <c r="B13" s="37" t="s">
        <v>391</v>
      </c>
      <c r="C13" s="42"/>
      <c r="D13" s="397">
        <f>'Alternative No. 0'!$H$14</f>
        <v>0</v>
      </c>
      <c r="E13" s="41"/>
    </row>
    <row r="14" spans="2:5" s="33" customFormat="1" ht="18.75" x14ac:dyDescent="0.3">
      <c r="B14" s="37" t="s">
        <v>74</v>
      </c>
      <c r="C14" s="42"/>
      <c r="D14" s="397">
        <f>'Alternative No. 0'!$H$15</f>
        <v>0</v>
      </c>
      <c r="E14" s="41"/>
    </row>
    <row r="15" spans="2:5" s="33" customFormat="1" ht="19.5" thickBot="1" x14ac:dyDescent="0.35">
      <c r="B15" s="37" t="s">
        <v>75</v>
      </c>
      <c r="C15" s="40"/>
      <c r="D15" s="43" t="e">
        <f>$D$9/($D$12*10^6)</f>
        <v>#DIV/0!</v>
      </c>
      <c r="E15" s="41"/>
    </row>
    <row r="16" spans="2:5" s="33" customFormat="1" ht="19.5" thickBot="1" x14ac:dyDescent="0.35">
      <c r="B16" s="37"/>
      <c r="C16" s="44" t="s">
        <v>76</v>
      </c>
      <c r="D16" s="45" t="s">
        <v>77</v>
      </c>
      <c r="E16" s="46" t="s">
        <v>78</v>
      </c>
    </row>
    <row r="17" spans="2:5" s="33" customFormat="1" ht="20.25" thickTop="1" thickBot="1" x14ac:dyDescent="0.35">
      <c r="B17" s="47" t="s">
        <v>79</v>
      </c>
      <c r="C17" s="48">
        <f>'Alternative No. 0'!$J$25</f>
        <v>0</v>
      </c>
      <c r="D17" s="44">
        <f>'Alternative No. 0'!$I$25</f>
        <v>0</v>
      </c>
      <c r="E17" s="49" t="e">
        <f>D17/C17</f>
        <v>#DIV/0!</v>
      </c>
    </row>
    <row r="18" spans="2:5" s="33" customFormat="1" ht="20.25" thickTop="1" thickBot="1" x14ac:dyDescent="0.35">
      <c r="B18" s="47" t="s">
        <v>80</v>
      </c>
      <c r="C18" s="48">
        <f>'Alternative No. 0'!$J$36</f>
        <v>0</v>
      </c>
      <c r="D18" s="44">
        <f>'Alternative No. 0'!$I$36</f>
        <v>0</v>
      </c>
      <c r="E18" s="49" t="e">
        <f>D18/C18</f>
        <v>#DIV/0!</v>
      </c>
    </row>
    <row r="19" spans="2:5" s="33" customFormat="1" ht="20.25" thickTop="1" thickBot="1" x14ac:dyDescent="0.35">
      <c r="B19" s="47" t="s">
        <v>81</v>
      </c>
      <c r="C19" s="48">
        <f>'Alternative No. 0'!$J$49</f>
        <v>0</v>
      </c>
      <c r="D19" s="44">
        <f>'Alternative No. 0'!$I$49</f>
        <v>0</v>
      </c>
      <c r="E19" s="49" t="e">
        <f>D19/C19</f>
        <v>#DIV/0!</v>
      </c>
    </row>
    <row r="20" spans="2:5" s="33" customFormat="1" ht="6" customHeight="1" thickTop="1" thickBot="1" x14ac:dyDescent="0.35">
      <c r="D20" s="39"/>
      <c r="E20" s="50"/>
    </row>
    <row r="21" spans="2:5" s="33" customFormat="1" ht="19.5" thickBot="1" x14ac:dyDescent="0.35">
      <c r="B21" s="51" t="s">
        <v>82</v>
      </c>
      <c r="C21" s="44">
        <f>SUM(C17:C19)</f>
        <v>0</v>
      </c>
      <c r="D21" s="45">
        <f>SUM(D17:D19)</f>
        <v>0</v>
      </c>
      <c r="E21" s="49" t="e">
        <f>D21/C21</f>
        <v>#DIV/0!</v>
      </c>
    </row>
    <row r="22" spans="2:5" s="33" customFormat="1" ht="20.25" thickTop="1" thickBot="1" x14ac:dyDescent="0.35">
      <c r="D22" s="39"/>
      <c r="E22" s="39"/>
    </row>
    <row r="23" spans="2:5" s="33" customFormat="1" ht="19.5" customHeight="1" thickBot="1" x14ac:dyDescent="0.35">
      <c r="B23" s="36" t="str">
        <f>'Alternative No. 1'!C7</f>
        <v>Alternative No. 1</v>
      </c>
      <c r="C23" s="404" t="str">
        <f>'Alternative No. 1'!D7</f>
        <v>XXXXX</v>
      </c>
      <c r="D23" s="405"/>
      <c r="E23" s="406"/>
    </row>
    <row r="24" spans="2:5" s="33" customFormat="1" ht="19.5" thickTop="1" x14ac:dyDescent="0.3">
      <c r="B24" s="37" t="s">
        <v>36</v>
      </c>
      <c r="D24" s="38">
        <f>'Alternative No. 1'!$H$10</f>
        <v>0</v>
      </c>
      <c r="E24" s="39"/>
    </row>
    <row r="25" spans="2:5" s="33" customFormat="1" ht="18.75" x14ac:dyDescent="0.3">
      <c r="B25" s="37" t="s">
        <v>34</v>
      </c>
      <c r="D25" s="38">
        <f>'Alternative No. 1'!$H$11</f>
        <v>0</v>
      </c>
      <c r="E25" s="39"/>
    </row>
    <row r="26" spans="2:5" s="33" customFormat="1" ht="18.75" x14ac:dyDescent="0.3">
      <c r="B26" s="37" t="s">
        <v>33</v>
      </c>
      <c r="D26" s="38">
        <f>'Alternative No. 1'!$H$12</f>
        <v>0</v>
      </c>
      <c r="E26" s="39"/>
    </row>
    <row r="27" spans="2:5" s="33" customFormat="1" ht="18.75" x14ac:dyDescent="0.3">
      <c r="B27" s="37" t="s">
        <v>73</v>
      </c>
      <c r="C27" s="40"/>
      <c r="D27" s="396">
        <f>'Alternative No. 1'!$H$13</f>
        <v>0</v>
      </c>
      <c r="E27" s="41"/>
    </row>
    <row r="28" spans="2:5" s="33" customFormat="1" ht="18.75" x14ac:dyDescent="0.3">
      <c r="B28" s="37" t="s">
        <v>391</v>
      </c>
      <c r="C28" s="42"/>
      <c r="D28" s="397">
        <f>'Alternative No. 1'!$H$14</f>
        <v>0</v>
      </c>
      <c r="E28" s="41"/>
    </row>
    <row r="29" spans="2:5" s="33" customFormat="1" ht="18.75" x14ac:dyDescent="0.3">
      <c r="B29" s="37" t="s">
        <v>74</v>
      </c>
      <c r="C29" s="42"/>
      <c r="D29" s="397">
        <f>'Alternative No. 1'!$H$15</f>
        <v>0</v>
      </c>
      <c r="E29" s="41"/>
    </row>
    <row r="30" spans="2:5" s="33" customFormat="1" ht="19.5" thickBot="1" x14ac:dyDescent="0.35">
      <c r="B30" s="37" t="s">
        <v>75</v>
      </c>
      <c r="C30" s="40"/>
      <c r="D30" s="43" t="e">
        <f>$D$24/($D$27*10^6)</f>
        <v>#DIV/0!</v>
      </c>
      <c r="E30" s="41"/>
    </row>
    <row r="31" spans="2:5" s="33" customFormat="1" ht="19.5" thickBot="1" x14ac:dyDescent="0.35">
      <c r="B31" s="37"/>
      <c r="C31" s="44" t="s">
        <v>76</v>
      </c>
      <c r="D31" s="45" t="s">
        <v>77</v>
      </c>
      <c r="E31" s="46" t="s">
        <v>78</v>
      </c>
    </row>
    <row r="32" spans="2:5" s="33" customFormat="1" ht="20.25" thickTop="1" thickBot="1" x14ac:dyDescent="0.35">
      <c r="B32" s="47" t="s">
        <v>79</v>
      </c>
      <c r="C32" s="48">
        <f>'Alternative No. 1'!$J$25</f>
        <v>0</v>
      </c>
      <c r="D32" s="44">
        <f>'Alternative No. 1'!$I$25</f>
        <v>0</v>
      </c>
      <c r="E32" s="49" t="e">
        <f>D32/C32</f>
        <v>#DIV/0!</v>
      </c>
    </row>
    <row r="33" spans="2:5" s="33" customFormat="1" ht="20.25" thickTop="1" thickBot="1" x14ac:dyDescent="0.35">
      <c r="B33" s="47" t="s">
        <v>80</v>
      </c>
      <c r="C33" s="48">
        <f>'Alternative No. 1'!$J$36</f>
        <v>0</v>
      </c>
      <c r="D33" s="44">
        <f>'Alternative No. 1'!$I$36</f>
        <v>0</v>
      </c>
      <c r="E33" s="49" t="e">
        <f>D33/C33</f>
        <v>#DIV/0!</v>
      </c>
    </row>
    <row r="34" spans="2:5" s="33" customFormat="1" ht="20.25" thickTop="1" thickBot="1" x14ac:dyDescent="0.35">
      <c r="B34" s="47" t="s">
        <v>81</v>
      </c>
      <c r="C34" s="48">
        <f>'Alternative No. 1'!$J$49</f>
        <v>0</v>
      </c>
      <c r="D34" s="44">
        <f>'Alternative No. 1'!$I$49</f>
        <v>0</v>
      </c>
      <c r="E34" s="49" t="e">
        <f>D34/C34</f>
        <v>#DIV/0!</v>
      </c>
    </row>
    <row r="35" spans="2:5" s="33" customFormat="1" ht="7.9" customHeight="1" thickTop="1" thickBot="1" x14ac:dyDescent="0.35">
      <c r="D35" s="39"/>
      <c r="E35" s="50"/>
    </row>
    <row r="36" spans="2:5" s="33" customFormat="1" ht="19.5" thickBot="1" x14ac:dyDescent="0.35">
      <c r="B36" s="51" t="s">
        <v>82</v>
      </c>
      <c r="C36" s="44">
        <f>SUM(C32:C34)</f>
        <v>0</v>
      </c>
      <c r="D36" s="45">
        <f>SUM(D32:D34)</f>
        <v>0</v>
      </c>
      <c r="E36" s="49" t="e">
        <f>D36/C36</f>
        <v>#DIV/0!</v>
      </c>
    </row>
    <row r="37" spans="2:5" s="33" customFormat="1" ht="20.25" thickTop="1" thickBot="1" x14ac:dyDescent="0.35">
      <c r="D37" s="39"/>
      <c r="E37" s="39"/>
    </row>
    <row r="38" spans="2:5" s="33" customFormat="1" ht="19.5" customHeight="1" thickBot="1" x14ac:dyDescent="0.35">
      <c r="B38" s="36" t="str">
        <f>'Alternative No. 2'!C7</f>
        <v>Alternative No. 2</v>
      </c>
      <c r="C38" s="404" t="str">
        <f>'Alternative No. 2'!D7</f>
        <v>XXXXX</v>
      </c>
      <c r="D38" s="405"/>
      <c r="E38" s="406"/>
    </row>
    <row r="39" spans="2:5" s="33" customFormat="1" ht="19.5" thickTop="1" x14ac:dyDescent="0.3">
      <c r="B39" s="37" t="s">
        <v>36</v>
      </c>
      <c r="D39" s="38">
        <f>'Alternative No. 2'!$H$10</f>
        <v>0</v>
      </c>
      <c r="E39" s="39"/>
    </row>
    <row r="40" spans="2:5" s="33" customFormat="1" ht="18.75" x14ac:dyDescent="0.3">
      <c r="B40" s="37" t="s">
        <v>34</v>
      </c>
      <c r="D40" s="38">
        <f>'Alternative No. 2'!$H$11</f>
        <v>0</v>
      </c>
      <c r="E40" s="39"/>
    </row>
    <row r="41" spans="2:5" s="33" customFormat="1" ht="18.75" x14ac:dyDescent="0.3">
      <c r="B41" s="37" t="s">
        <v>33</v>
      </c>
      <c r="D41" s="38">
        <f>'Alternative No. 2'!$H$12</f>
        <v>0</v>
      </c>
      <c r="E41" s="39"/>
    </row>
    <row r="42" spans="2:5" s="33" customFormat="1" ht="18.75" x14ac:dyDescent="0.3">
      <c r="B42" s="37" t="s">
        <v>73</v>
      </c>
      <c r="C42" s="40"/>
      <c r="D42" s="396">
        <f>'Alternative No. 2'!$H$13</f>
        <v>0</v>
      </c>
      <c r="E42" s="41"/>
    </row>
    <row r="43" spans="2:5" s="33" customFormat="1" ht="18.75" x14ac:dyDescent="0.3">
      <c r="B43" s="37" t="s">
        <v>391</v>
      </c>
      <c r="C43" s="42"/>
      <c r="D43" s="397">
        <f>'Alternative No. 2'!$H$14</f>
        <v>0</v>
      </c>
      <c r="E43" s="41"/>
    </row>
    <row r="44" spans="2:5" s="33" customFormat="1" ht="18.75" x14ac:dyDescent="0.3">
      <c r="B44" s="37" t="s">
        <v>74</v>
      </c>
      <c r="C44" s="42"/>
      <c r="D44" s="397">
        <f>'Alternative No. 2'!$H$15</f>
        <v>0</v>
      </c>
      <c r="E44" s="41"/>
    </row>
    <row r="45" spans="2:5" s="33" customFormat="1" ht="19.5" thickBot="1" x14ac:dyDescent="0.35">
      <c r="B45" s="37" t="s">
        <v>75</v>
      </c>
      <c r="C45" s="40"/>
      <c r="D45" s="43" t="e">
        <f>$D$39/($D$42*10^6)</f>
        <v>#DIV/0!</v>
      </c>
      <c r="E45" s="41"/>
    </row>
    <row r="46" spans="2:5" s="33" customFormat="1" ht="19.5" thickBot="1" x14ac:dyDescent="0.35">
      <c r="B46" s="37"/>
      <c r="C46" s="44" t="s">
        <v>76</v>
      </c>
      <c r="D46" s="45" t="s">
        <v>77</v>
      </c>
      <c r="E46" s="46" t="s">
        <v>78</v>
      </c>
    </row>
    <row r="47" spans="2:5" s="33" customFormat="1" ht="20.25" thickTop="1" thickBot="1" x14ac:dyDescent="0.35">
      <c r="B47" s="47" t="s">
        <v>79</v>
      </c>
      <c r="C47" s="48">
        <f>'Alternative No. 2'!$J$25</f>
        <v>0</v>
      </c>
      <c r="D47" s="44">
        <f>'Alternative No. 2'!$I$25</f>
        <v>0</v>
      </c>
      <c r="E47" s="49" t="e">
        <f>D47/C47</f>
        <v>#DIV/0!</v>
      </c>
    </row>
    <row r="48" spans="2:5" s="33" customFormat="1" ht="20.25" thickTop="1" thickBot="1" x14ac:dyDescent="0.35">
      <c r="B48" s="47" t="s">
        <v>80</v>
      </c>
      <c r="C48" s="48">
        <f>'Alternative No. 2'!$J$36</f>
        <v>0</v>
      </c>
      <c r="D48" s="44">
        <f>'Alternative No. 2'!$I$36</f>
        <v>0</v>
      </c>
      <c r="E48" s="49" t="e">
        <f>D48/C48</f>
        <v>#DIV/0!</v>
      </c>
    </row>
    <row r="49" spans="2:5" s="33" customFormat="1" ht="20.25" thickTop="1" thickBot="1" x14ac:dyDescent="0.35">
      <c r="B49" s="47" t="s">
        <v>81</v>
      </c>
      <c r="C49" s="48">
        <f>'Alternative No. 2'!$J$49</f>
        <v>0</v>
      </c>
      <c r="D49" s="44">
        <f>'Alternative No. 2'!$I$49</f>
        <v>0</v>
      </c>
      <c r="E49" s="49" t="e">
        <f>D49/C49</f>
        <v>#DIV/0!</v>
      </c>
    </row>
    <row r="50" spans="2:5" s="33" customFormat="1" ht="8.25" customHeight="1" thickTop="1" thickBot="1" x14ac:dyDescent="0.35">
      <c r="D50" s="39"/>
      <c r="E50" s="50"/>
    </row>
    <row r="51" spans="2:5" s="33" customFormat="1" ht="19.5" thickBot="1" x14ac:dyDescent="0.35">
      <c r="B51" s="51" t="s">
        <v>82</v>
      </c>
      <c r="C51" s="44">
        <f>SUM(C47:C49)</f>
        <v>0</v>
      </c>
      <c r="D51" s="45">
        <f>SUM(D47:D49)</f>
        <v>0</v>
      </c>
      <c r="E51" s="49" t="e">
        <f>D51/C51</f>
        <v>#DIV/0!</v>
      </c>
    </row>
    <row r="52" spans="2:5" s="33" customFormat="1" ht="19.5" thickTop="1" x14ac:dyDescent="0.3">
      <c r="D52" s="39"/>
      <c r="E52" s="39"/>
    </row>
  </sheetData>
  <mergeCells count="8">
    <mergeCell ref="C23:E23"/>
    <mergeCell ref="C38:E38"/>
    <mergeCell ref="B2:D2"/>
    <mergeCell ref="B3:D3"/>
    <mergeCell ref="B4:D4"/>
    <mergeCell ref="B5:D5"/>
    <mergeCell ref="C6:E6"/>
    <mergeCell ref="C8:E8"/>
  </mergeCells>
  <phoneticPr fontId="57" type="noConversion"/>
  <pageMargins left="0.7" right="0.7" top="0.75" bottom="0.75" header="0.3" footer="0.3"/>
  <pageSetup scale="72" orientation="portrait" horizontalDpi="300" verticalDpi="300" r:id="rId1"/>
  <rowBreaks count="1" manualBreakCount="1">
    <brk id="52"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B2:AB71"/>
  <sheetViews>
    <sheetView zoomScale="60" zoomScaleNormal="60" workbookViewId="0">
      <selection activeCell="I2" sqref="I2"/>
    </sheetView>
  </sheetViews>
  <sheetFormatPr defaultRowHeight="15" x14ac:dyDescent="0.25"/>
  <cols>
    <col min="2" max="2" width="12.140625" bestFit="1" customWidth="1"/>
    <col min="3" max="3" width="11.5703125" customWidth="1"/>
    <col min="4" max="4" width="14" customWidth="1"/>
    <col min="5" max="5" width="13.85546875" customWidth="1"/>
    <col min="6" max="6" width="11.5703125" customWidth="1"/>
    <col min="7" max="7" width="13.42578125" bestFit="1" customWidth="1"/>
    <col min="8" max="8" width="17" customWidth="1"/>
    <col min="9" max="9" width="9.28515625" customWidth="1"/>
    <col min="10" max="10" width="8.85546875" customWidth="1"/>
    <col min="11" max="11" width="10.28515625" customWidth="1"/>
    <col min="12" max="15" width="10.140625" customWidth="1"/>
    <col min="16" max="16" width="11.140625" customWidth="1"/>
    <col min="17" max="17" width="12" customWidth="1"/>
    <col min="18" max="18" width="10.7109375" customWidth="1"/>
    <col min="19" max="19" width="12.140625" customWidth="1"/>
    <col min="20" max="22" width="10.140625" customWidth="1"/>
    <col min="24" max="24" width="9.7109375" bestFit="1" customWidth="1"/>
  </cols>
  <sheetData>
    <row r="2" spans="2:28" x14ac:dyDescent="0.25">
      <c r="B2" t="s">
        <v>133</v>
      </c>
      <c r="D2" t="s">
        <v>102</v>
      </c>
      <c r="E2" s="375"/>
      <c r="F2" s="52" t="s">
        <v>37</v>
      </c>
      <c r="G2" s="375"/>
      <c r="I2" s="53" t="s">
        <v>417</v>
      </c>
      <c r="L2" s="53"/>
      <c r="M2" s="53"/>
    </row>
    <row r="3" spans="2:28" ht="15.75" thickBot="1" x14ac:dyDescent="0.3">
      <c r="X3" s="54"/>
      <c r="Y3" s="54"/>
    </row>
    <row r="4" spans="2:28" ht="15.75" thickBot="1" x14ac:dyDescent="0.3">
      <c r="B4" s="55"/>
      <c r="C4" s="56"/>
      <c r="D4" s="56"/>
      <c r="E4" s="56"/>
      <c r="F4" s="57" t="s">
        <v>103</v>
      </c>
      <c r="G4" s="373"/>
      <c r="H4" s="56"/>
      <c r="I4" s="56"/>
      <c r="J4" s="56"/>
      <c r="K4" s="56"/>
      <c r="L4" s="56"/>
      <c r="M4" s="56"/>
      <c r="N4" s="56"/>
      <c r="O4" s="56"/>
      <c r="P4" s="56"/>
      <c r="Q4" s="56"/>
      <c r="R4" s="56"/>
      <c r="S4" s="56"/>
      <c r="T4" s="56"/>
      <c r="U4" s="56"/>
      <c r="V4" s="56"/>
      <c r="W4" s="58"/>
      <c r="X4" s="55"/>
      <c r="Y4" s="58"/>
    </row>
    <row r="5" spans="2:28" ht="110.25" customHeight="1" thickBot="1" x14ac:dyDescent="0.3">
      <c r="B5" s="55"/>
      <c r="C5" s="59" t="s">
        <v>104</v>
      </c>
      <c r="D5" s="59" t="s">
        <v>105</v>
      </c>
      <c r="E5" s="59" t="s">
        <v>106</v>
      </c>
      <c r="F5" s="59" t="s">
        <v>107</v>
      </c>
      <c r="G5" s="60" t="s">
        <v>108</v>
      </c>
      <c r="H5" s="61"/>
      <c r="I5" s="62" t="s">
        <v>109</v>
      </c>
      <c r="J5" s="63" t="s">
        <v>110</v>
      </c>
      <c r="K5" s="63" t="s">
        <v>111</v>
      </c>
      <c r="L5" s="63" t="s">
        <v>112</v>
      </c>
      <c r="M5" s="63" t="s">
        <v>113</v>
      </c>
      <c r="N5" s="63" t="s">
        <v>114</v>
      </c>
      <c r="O5" s="63" t="s">
        <v>115</v>
      </c>
      <c r="P5" s="63" t="s">
        <v>116</v>
      </c>
      <c r="Q5" s="63" t="s">
        <v>117</v>
      </c>
      <c r="R5" s="63" t="s">
        <v>118</v>
      </c>
      <c r="S5" s="63" t="s">
        <v>119</v>
      </c>
      <c r="T5" s="63" t="s">
        <v>120</v>
      </c>
      <c r="U5" s="63" t="s">
        <v>121</v>
      </c>
      <c r="V5" s="64" t="s">
        <v>122</v>
      </c>
      <c r="W5" s="65" t="s">
        <v>123</v>
      </c>
      <c r="X5" s="66" t="s">
        <v>124</v>
      </c>
      <c r="Y5" s="67" t="s">
        <v>125</v>
      </c>
      <c r="Z5" s="68"/>
      <c r="AA5" s="68"/>
      <c r="AB5" s="68"/>
    </row>
    <row r="6" spans="2:28" ht="20.25" customHeight="1" thickBot="1" x14ac:dyDescent="0.3">
      <c r="B6" s="55"/>
      <c r="C6" s="69"/>
      <c r="D6" s="70">
        <f>SUM(D8:D22)</f>
        <v>0</v>
      </c>
      <c r="E6" s="70">
        <f>SUM(E8:E22)</f>
        <v>0</v>
      </c>
      <c r="F6" s="69"/>
      <c r="G6" s="71"/>
      <c r="H6" s="72" t="s">
        <v>126</v>
      </c>
      <c r="I6" s="73">
        <f>'PS weights'!I6</f>
        <v>48.620999999999995</v>
      </c>
      <c r="J6" s="73">
        <f>'PS weights'!J6</f>
        <v>48.620999999999995</v>
      </c>
      <c r="K6" s="73">
        <f>'PS weights'!K6</f>
        <v>54.163724999999992</v>
      </c>
      <c r="L6" s="73">
        <f>'PS weights'!L6</f>
        <v>59.576999999999998</v>
      </c>
      <c r="M6" s="73">
        <f>'PS weights'!M6</f>
        <v>57.789000000000001</v>
      </c>
      <c r="N6" s="73">
        <f>'PS weights'!N6</f>
        <v>45.515999999999998</v>
      </c>
      <c r="O6" s="73">
        <f>'PS weights'!O6</f>
        <v>49.569000000000003</v>
      </c>
      <c r="P6" s="73">
        <f>'PS weights'!P6</f>
        <v>44.298000000000002</v>
      </c>
      <c r="Q6" s="73">
        <f>'PS weights'!Q6</f>
        <v>58.824150000000003</v>
      </c>
      <c r="R6" s="73">
        <f>'PS weights'!R6</f>
        <v>64.648237499999993</v>
      </c>
      <c r="S6" s="73">
        <f>'PS weights'!S6</f>
        <v>50.504999999999995</v>
      </c>
      <c r="T6" s="73">
        <f>'PS weights'!T6</f>
        <v>61.116</v>
      </c>
      <c r="U6" s="73">
        <f>'PS weights'!U6</f>
        <v>44.870999999999995</v>
      </c>
      <c r="V6" s="73">
        <f>'PS weights'!V6</f>
        <v>50</v>
      </c>
      <c r="W6" s="73">
        <f>'PS weights'!W6</f>
        <v>37.152000000000001</v>
      </c>
      <c r="X6" s="75"/>
      <c r="Y6" s="58"/>
      <c r="Z6" s="68"/>
      <c r="AA6" s="68"/>
      <c r="AB6" s="68"/>
    </row>
    <row r="7" spans="2:28" ht="20.25" customHeight="1" thickBot="1" x14ac:dyDescent="0.3">
      <c r="B7" s="76"/>
      <c r="C7" s="77"/>
      <c r="D7" s="78"/>
      <c r="E7" s="78"/>
      <c r="F7" s="77"/>
      <c r="G7" s="79"/>
      <c r="H7" s="72" t="s">
        <v>127</v>
      </c>
      <c r="I7" s="446" t="s">
        <v>128</v>
      </c>
      <c r="J7" s="447"/>
      <c r="K7" s="447"/>
      <c r="L7" s="447"/>
      <c r="M7" s="447"/>
      <c r="N7" s="447"/>
      <c r="O7" s="447"/>
      <c r="P7" s="447"/>
      <c r="Q7" s="447"/>
      <c r="R7" s="447"/>
      <c r="S7" s="447"/>
      <c r="T7" s="447"/>
      <c r="U7" s="447"/>
      <c r="V7" s="447"/>
      <c r="W7" s="448"/>
      <c r="X7" s="80"/>
      <c r="Y7" s="81"/>
      <c r="Z7" s="68"/>
      <c r="AA7" s="68"/>
      <c r="AB7" s="68"/>
    </row>
    <row r="8" spans="2:28" x14ac:dyDescent="0.25">
      <c r="B8" s="76"/>
      <c r="C8" s="77">
        <v>2</v>
      </c>
      <c r="D8" s="82">
        <f>$G$4*F8</f>
        <v>0</v>
      </c>
      <c r="E8" s="82">
        <f t="shared" ref="D8:E22" si="0">$G$4*G8</f>
        <v>0</v>
      </c>
      <c r="F8" s="83">
        <f>'PS weights'!F8</f>
        <v>1.9998011958661195E-2</v>
      </c>
      <c r="G8" s="84">
        <f>'PS weights'!G8</f>
        <v>5.8251566546316344E-2</v>
      </c>
      <c r="H8" s="85">
        <f>$G$4*F8</f>
        <v>0</v>
      </c>
      <c r="I8" s="86">
        <f>'PS weights'!I8</f>
        <v>0</v>
      </c>
      <c r="J8" s="86">
        <f>'PS weights'!J8</f>
        <v>0</v>
      </c>
      <c r="K8" s="86">
        <f>'PS weights'!K8</f>
        <v>0</v>
      </c>
      <c r="L8" s="86">
        <f>'PS weights'!L8</f>
        <v>0.4</v>
      </c>
      <c r="M8" s="86">
        <f>'PS weights'!M8</f>
        <v>0</v>
      </c>
      <c r="N8" s="86">
        <f>'PS weights'!N8</f>
        <v>0.4</v>
      </c>
      <c r="O8" s="86">
        <f>'PS weights'!O8</f>
        <v>0</v>
      </c>
      <c r="P8" s="86">
        <f>'PS weights'!P8</f>
        <v>0</v>
      </c>
      <c r="Q8" s="86">
        <f>'PS weights'!Q8</f>
        <v>0</v>
      </c>
      <c r="R8" s="86">
        <f>'PS weights'!R8</f>
        <v>0</v>
      </c>
      <c r="S8" s="86">
        <f>'PS weights'!S8</f>
        <v>0</v>
      </c>
      <c r="T8" s="86">
        <f>'PS weights'!T8</f>
        <v>0.2</v>
      </c>
      <c r="U8" s="86">
        <f>'PS weights'!U8</f>
        <v>0</v>
      </c>
      <c r="V8" s="86">
        <f>'PS weights'!V8</f>
        <v>0</v>
      </c>
      <c r="W8" s="86">
        <f>'PS weights'!W8</f>
        <v>0</v>
      </c>
      <c r="X8" s="131">
        <f>I8*$I$6+J8*$J$6+K8*$K$6+L8*$L$6+M8*$M$6+N8*$N$6+O8*$O$6+P8*$P$6+Q8*$Q$6+R8*$R$6+S8*$S$6+T8*$T$6+U8*$U$6+V8*$V$6+W8*$W$6</f>
        <v>54.260399999999997</v>
      </c>
      <c r="Y8" s="89">
        <f t="shared" ref="Y8:Y22" si="1">H8/X8</f>
        <v>0</v>
      </c>
      <c r="Z8" s="68"/>
      <c r="AA8" s="90"/>
      <c r="AB8" s="68"/>
    </row>
    <row r="9" spans="2:28" x14ac:dyDescent="0.25">
      <c r="B9" s="91"/>
      <c r="C9" s="92">
        <v>3</v>
      </c>
      <c r="D9" s="93">
        <f>$G$4*F9</f>
        <v>0</v>
      </c>
      <c r="E9" s="93">
        <f t="shared" si="0"/>
        <v>0</v>
      </c>
      <c r="F9" s="94">
        <f>'PS weights'!F9</f>
        <v>7.351558393731894E-2</v>
      </c>
      <c r="G9" s="95">
        <f>'PS weights'!G9</f>
        <v>0.10966675600253654</v>
      </c>
      <c r="H9" s="85">
        <f t="shared" ref="H9:H22" si="2">$G$4*F9</f>
        <v>0</v>
      </c>
      <c r="I9" s="86">
        <f>'PS weights'!I9</f>
        <v>0.28499999999999998</v>
      </c>
      <c r="J9" s="86">
        <f>'PS weights'!J9</f>
        <v>0</v>
      </c>
      <c r="K9" s="86">
        <f>'PS weights'!K9</f>
        <v>0</v>
      </c>
      <c r="L9" s="86">
        <f>'PS weights'!L9</f>
        <v>0.14199999999999999</v>
      </c>
      <c r="M9" s="86">
        <f>'PS weights'!M9</f>
        <v>0.14199999999999999</v>
      </c>
      <c r="N9" s="86">
        <f>'PS weights'!N9</f>
        <v>0.28499999999999998</v>
      </c>
      <c r="O9" s="86">
        <f>'PS weights'!O9</f>
        <v>0.14199999999999999</v>
      </c>
      <c r="P9" s="86">
        <f>'PS weights'!P9</f>
        <v>0</v>
      </c>
      <c r="Q9" s="86">
        <f>'PS weights'!Q9</f>
        <v>0</v>
      </c>
      <c r="R9" s="86">
        <f>'PS weights'!R9</f>
        <v>0</v>
      </c>
      <c r="S9" s="86">
        <f>'PS weights'!S9</f>
        <v>0</v>
      </c>
      <c r="T9" s="86">
        <f>'PS weights'!T9</f>
        <v>0</v>
      </c>
      <c r="U9" s="86">
        <f>'PS weights'!U9</f>
        <v>0</v>
      </c>
      <c r="V9" s="86">
        <f>'PS weights'!V9</f>
        <v>0</v>
      </c>
      <c r="W9" s="86">
        <f>'PS weights'!W9</f>
        <v>0</v>
      </c>
      <c r="X9" s="131">
        <f t="shared" ref="X9:X22" si="3">I9*$I$6+J9*$J$6+K9*$K$6+L9*$L$6+M9*$M$6+N9*$N$6+O9*$O$6+P9*$P$6+Q9*$Q$6+R9*$R$6+S9*$S$6+T9*$T$6+U9*$U$6+V9*$V$6+W9*$W$6</f>
        <v>50.533814999999997</v>
      </c>
      <c r="Y9" s="89">
        <f t="shared" si="1"/>
        <v>0</v>
      </c>
      <c r="Z9" s="68"/>
      <c r="AA9" s="90"/>
      <c r="AB9" s="68"/>
    </row>
    <row r="10" spans="2:28" x14ac:dyDescent="0.25">
      <c r="B10" s="91"/>
      <c r="C10" s="92">
        <v>4</v>
      </c>
      <c r="D10" s="93">
        <f t="shared" si="0"/>
        <v>0</v>
      </c>
      <c r="E10" s="93">
        <f t="shared" si="0"/>
        <v>0</v>
      </c>
      <c r="F10" s="94">
        <f>'PS weights'!F10</f>
        <v>3.7685890748806426E-3</v>
      </c>
      <c r="G10" s="95">
        <f>'PS weights'!G10</f>
        <v>1.0185375878055791E-2</v>
      </c>
      <c r="H10" s="85">
        <f t="shared" si="2"/>
        <v>0</v>
      </c>
      <c r="I10" s="86">
        <f>'PS weights'!I10</f>
        <v>0</v>
      </c>
      <c r="J10" s="86">
        <f>'PS weights'!J10</f>
        <v>0</v>
      </c>
      <c r="K10" s="86">
        <f>'PS weights'!K10</f>
        <v>0</v>
      </c>
      <c r="L10" s="86">
        <f>'PS weights'!L10</f>
        <v>0</v>
      </c>
      <c r="M10" s="86">
        <f>'PS weights'!M10</f>
        <v>0</v>
      </c>
      <c r="N10" s="86">
        <f>'PS weights'!N10</f>
        <v>0.4</v>
      </c>
      <c r="O10" s="86">
        <f>'PS weights'!O10</f>
        <v>0.6</v>
      </c>
      <c r="P10" s="86">
        <f>'PS weights'!P10</f>
        <v>0</v>
      </c>
      <c r="Q10" s="86">
        <f>'PS weights'!Q10</f>
        <v>0</v>
      </c>
      <c r="R10" s="86">
        <f>'PS weights'!R10</f>
        <v>0</v>
      </c>
      <c r="S10" s="86">
        <f>'PS weights'!S10</f>
        <v>0</v>
      </c>
      <c r="T10" s="86">
        <f>'PS weights'!T10</f>
        <v>0</v>
      </c>
      <c r="U10" s="86">
        <f>'PS weights'!U10</f>
        <v>0</v>
      </c>
      <c r="V10" s="86">
        <f>'PS weights'!V10</f>
        <v>0</v>
      </c>
      <c r="W10" s="86">
        <f>'PS weights'!W10</f>
        <v>0</v>
      </c>
      <c r="X10" s="131">
        <f t="shared" si="3"/>
        <v>47.947800000000001</v>
      </c>
      <c r="Y10" s="89">
        <f t="shared" si="1"/>
        <v>0</v>
      </c>
      <c r="Z10" s="68"/>
      <c r="AA10" s="90"/>
      <c r="AB10" s="68"/>
    </row>
    <row r="11" spans="2:28" x14ac:dyDescent="0.25">
      <c r="B11" s="91"/>
      <c r="C11" s="92">
        <v>5</v>
      </c>
      <c r="D11" s="93">
        <f t="shared" si="0"/>
        <v>0</v>
      </c>
      <c r="E11" s="93">
        <f t="shared" si="0"/>
        <v>0</v>
      </c>
      <c r="F11" s="94">
        <f>'PS weights'!F11</f>
        <v>2.602002974819554E-3</v>
      </c>
      <c r="G11" s="95">
        <f>'PS weights'!G11</f>
        <v>2.7497060196852281E-2</v>
      </c>
      <c r="H11" s="85">
        <f t="shared" si="2"/>
        <v>0</v>
      </c>
      <c r="I11" s="86">
        <f>'PS weights'!I11</f>
        <v>1</v>
      </c>
      <c r="J11" s="86">
        <f>'PS weights'!J11</f>
        <v>0</v>
      </c>
      <c r="K11" s="86">
        <f>'PS weights'!K11</f>
        <v>0</v>
      </c>
      <c r="L11" s="86">
        <f>'PS weights'!L11</f>
        <v>0</v>
      </c>
      <c r="M11" s="86">
        <f>'PS weights'!M11</f>
        <v>0</v>
      </c>
      <c r="N11" s="86">
        <f>'PS weights'!N11</f>
        <v>0</v>
      </c>
      <c r="O11" s="86">
        <f>'PS weights'!O11</f>
        <v>0</v>
      </c>
      <c r="P11" s="86">
        <f>'PS weights'!P11</f>
        <v>0</v>
      </c>
      <c r="Q11" s="86">
        <f>'PS weights'!Q11</f>
        <v>0</v>
      </c>
      <c r="R11" s="86">
        <f>'PS weights'!R11</f>
        <v>0</v>
      </c>
      <c r="S11" s="86">
        <f>'PS weights'!S11</f>
        <v>0</v>
      </c>
      <c r="T11" s="86">
        <f>'PS weights'!T11</f>
        <v>0</v>
      </c>
      <c r="U11" s="86">
        <f>'PS weights'!U11</f>
        <v>0</v>
      </c>
      <c r="V11" s="86">
        <f>'PS weights'!V11</f>
        <v>0</v>
      </c>
      <c r="W11" s="86">
        <f>'PS weights'!W11</f>
        <v>0</v>
      </c>
      <c r="X11" s="131">
        <f t="shared" si="3"/>
        <v>48.620999999999995</v>
      </c>
      <c r="Y11" s="89">
        <f t="shared" si="1"/>
        <v>0</v>
      </c>
      <c r="Z11" s="68"/>
      <c r="AA11" s="90"/>
      <c r="AB11" s="68"/>
    </row>
    <row r="12" spans="2:28" x14ac:dyDescent="0.25">
      <c r="B12" s="91"/>
      <c r="C12" s="92">
        <v>6</v>
      </c>
      <c r="D12" s="93">
        <f t="shared" si="0"/>
        <v>0</v>
      </c>
      <c r="E12" s="93">
        <f t="shared" si="0"/>
        <v>0</v>
      </c>
      <c r="F12" s="94">
        <f>'PS weights'!F12</f>
        <v>1.9270047519643293E-3</v>
      </c>
      <c r="G12" s="95">
        <f>'PS weights'!G12</f>
        <v>4.6745218735124291E-3</v>
      </c>
      <c r="H12" s="85">
        <f t="shared" si="2"/>
        <v>0</v>
      </c>
      <c r="I12" s="86">
        <f>'PS weights'!I12</f>
        <v>1</v>
      </c>
      <c r="J12" s="86">
        <f>'PS weights'!J12</f>
        <v>0</v>
      </c>
      <c r="K12" s="86">
        <f>'PS weights'!K12</f>
        <v>0</v>
      </c>
      <c r="L12" s="86">
        <f>'PS weights'!L12</f>
        <v>0</v>
      </c>
      <c r="M12" s="86">
        <f>'PS weights'!M12</f>
        <v>0</v>
      </c>
      <c r="N12" s="86">
        <f>'PS weights'!N12</f>
        <v>0</v>
      </c>
      <c r="O12" s="86">
        <f>'PS weights'!O12</f>
        <v>0</v>
      </c>
      <c r="P12" s="86">
        <f>'PS weights'!P12</f>
        <v>0</v>
      </c>
      <c r="Q12" s="86">
        <f>'PS weights'!Q12</f>
        <v>0</v>
      </c>
      <c r="R12" s="86">
        <f>'PS weights'!R12</f>
        <v>0</v>
      </c>
      <c r="S12" s="86">
        <f>'PS weights'!S12</f>
        <v>0</v>
      </c>
      <c r="T12" s="86">
        <f>'PS weights'!T12</f>
        <v>0</v>
      </c>
      <c r="U12" s="86">
        <f>'PS weights'!U12</f>
        <v>0</v>
      </c>
      <c r="V12" s="86">
        <f>'PS weights'!V12</f>
        <v>0</v>
      </c>
      <c r="W12" s="86">
        <f>'PS weights'!W12</f>
        <v>0</v>
      </c>
      <c r="X12" s="131">
        <f t="shared" si="3"/>
        <v>48.620999999999995</v>
      </c>
      <c r="Y12" s="89">
        <f t="shared" si="1"/>
        <v>0</v>
      </c>
      <c r="Z12" s="68"/>
      <c r="AA12" s="90"/>
      <c r="AB12" s="68"/>
    </row>
    <row r="13" spans="2:28" x14ac:dyDescent="0.25">
      <c r="B13" s="91"/>
      <c r="C13" s="92">
        <v>7</v>
      </c>
      <c r="D13" s="93">
        <f t="shared" si="0"/>
        <v>0</v>
      </c>
      <c r="E13" s="93">
        <f t="shared" si="0"/>
        <v>0</v>
      </c>
      <c r="F13" s="94">
        <f>'PS weights'!F13</f>
        <v>2.1501076901344692E-3</v>
      </c>
      <c r="G13" s="95">
        <f>'PS weights'!G13</f>
        <v>1.3262644116358682E-2</v>
      </c>
      <c r="H13" s="85">
        <f t="shared" si="2"/>
        <v>0</v>
      </c>
      <c r="I13" s="86">
        <f>'PS weights'!I13</f>
        <v>0.5</v>
      </c>
      <c r="J13" s="86">
        <f>'PS weights'!J13</f>
        <v>0</v>
      </c>
      <c r="K13" s="86">
        <f>'PS weights'!K13</f>
        <v>0</v>
      </c>
      <c r="L13" s="86">
        <f>'PS weights'!L13</f>
        <v>0</v>
      </c>
      <c r="M13" s="86">
        <f>'PS weights'!M13</f>
        <v>0</v>
      </c>
      <c r="N13" s="86">
        <f>'PS weights'!N13</f>
        <v>0</v>
      </c>
      <c r="O13" s="86">
        <f>'PS weights'!O13</f>
        <v>0</v>
      </c>
      <c r="P13" s="86">
        <f>'PS weights'!P13</f>
        <v>0</v>
      </c>
      <c r="Q13" s="86">
        <f>'PS weights'!Q13</f>
        <v>0</v>
      </c>
      <c r="R13" s="86">
        <f>'PS weights'!R13</f>
        <v>0</v>
      </c>
      <c r="S13" s="86">
        <f>'PS weights'!S13</f>
        <v>0</v>
      </c>
      <c r="T13" s="86">
        <f>'PS weights'!T13</f>
        <v>0</v>
      </c>
      <c r="U13" s="86">
        <f>'PS weights'!U13</f>
        <v>0</v>
      </c>
      <c r="V13" s="86">
        <f>'PS weights'!V13</f>
        <v>0</v>
      </c>
      <c r="W13" s="86">
        <f>'PS weights'!W13</f>
        <v>0.5</v>
      </c>
      <c r="X13" s="131">
        <f t="shared" si="3"/>
        <v>42.886499999999998</v>
      </c>
      <c r="Y13" s="89">
        <f t="shared" si="1"/>
        <v>0</v>
      </c>
      <c r="Z13" s="68"/>
      <c r="AA13" s="90"/>
      <c r="AB13" s="68"/>
    </row>
    <row r="14" spans="2:28" x14ac:dyDescent="0.25">
      <c r="B14" s="91"/>
      <c r="C14" s="92">
        <v>8</v>
      </c>
      <c r="D14" s="93">
        <f t="shared" si="0"/>
        <v>0</v>
      </c>
      <c r="E14" s="93">
        <f t="shared" si="0"/>
        <v>0</v>
      </c>
      <c r="F14" s="94">
        <f>'PS weights'!F14</f>
        <v>8.1799690736894504E-4</v>
      </c>
      <c r="G14" s="95">
        <f>'PS weights'!G14</f>
        <v>6.2485202387479134E-3</v>
      </c>
      <c r="H14" s="85">
        <f t="shared" si="2"/>
        <v>0</v>
      </c>
      <c r="I14" s="86">
        <f>'PS weights'!I14</f>
        <v>1</v>
      </c>
      <c r="J14" s="86">
        <f>'PS weights'!J14</f>
        <v>0</v>
      </c>
      <c r="K14" s="86">
        <f>'PS weights'!K14</f>
        <v>0</v>
      </c>
      <c r="L14" s="86">
        <f>'PS weights'!L14</f>
        <v>0</v>
      </c>
      <c r="M14" s="86">
        <f>'PS weights'!M14</f>
        <v>0</v>
      </c>
      <c r="N14" s="86">
        <f>'PS weights'!N14</f>
        <v>0</v>
      </c>
      <c r="O14" s="86">
        <f>'PS weights'!O14</f>
        <v>0</v>
      </c>
      <c r="P14" s="86">
        <f>'PS weights'!P14</f>
        <v>0</v>
      </c>
      <c r="Q14" s="86">
        <f>'PS weights'!Q14</f>
        <v>0</v>
      </c>
      <c r="R14" s="86">
        <f>'PS weights'!R14</f>
        <v>0</v>
      </c>
      <c r="S14" s="86">
        <f>'PS weights'!S14</f>
        <v>0</v>
      </c>
      <c r="T14" s="86">
        <f>'PS weights'!T14</f>
        <v>0</v>
      </c>
      <c r="U14" s="86">
        <f>'PS weights'!U14</f>
        <v>0</v>
      </c>
      <c r="V14" s="86">
        <f>'PS weights'!V14</f>
        <v>0</v>
      </c>
      <c r="W14" s="86">
        <f>'PS weights'!W14</f>
        <v>0</v>
      </c>
      <c r="X14" s="131">
        <f>I14*$I$6+J14*$J$6+K14*$K$6+L14*$L$6+M14*$M$6+N14*$N$6+O14*$O$6+P14*$P$6+Q14*$Q$6+R14*$R$6+S14*$S$6+T14*$T$6+U14*$U$6+V14*$V$6+W14*$W$6</f>
        <v>48.620999999999995</v>
      </c>
      <c r="Y14" s="89">
        <f t="shared" si="1"/>
        <v>0</v>
      </c>
      <c r="Z14" s="68"/>
      <c r="AA14" s="90"/>
      <c r="AB14" s="68"/>
    </row>
    <row r="15" spans="2:28" x14ac:dyDescent="0.25">
      <c r="B15" s="91"/>
      <c r="C15" s="92">
        <v>9</v>
      </c>
      <c r="D15" s="93">
        <f t="shared" si="0"/>
        <v>0</v>
      </c>
      <c r="E15" s="93">
        <f t="shared" si="0"/>
        <v>0</v>
      </c>
      <c r="F15" s="94">
        <f>'PS weights'!F15</f>
        <v>8.5705799698302856E-3</v>
      </c>
      <c r="G15" s="95">
        <f>'PS weights'!G15</f>
        <v>2.5833996200433425E-2</v>
      </c>
      <c r="H15" s="85">
        <f t="shared" si="2"/>
        <v>0</v>
      </c>
      <c r="I15" s="86">
        <f>'PS weights'!I15</f>
        <v>0</v>
      </c>
      <c r="J15" s="86">
        <f>'PS weights'!J15</f>
        <v>0</v>
      </c>
      <c r="K15" s="86">
        <f>'PS weights'!K15</f>
        <v>0</v>
      </c>
      <c r="L15" s="86">
        <f>'PS weights'!L15</f>
        <v>0</v>
      </c>
      <c r="M15" s="86">
        <f>'PS weights'!M15</f>
        <v>0</v>
      </c>
      <c r="N15" s="86">
        <f>'PS weights'!N15</f>
        <v>0</v>
      </c>
      <c r="O15" s="86">
        <f>'PS weights'!O15</f>
        <v>0</v>
      </c>
      <c r="P15" s="86">
        <f>'PS weights'!P15</f>
        <v>0</v>
      </c>
      <c r="Q15" s="86">
        <f>'PS weights'!Q15</f>
        <v>0</v>
      </c>
      <c r="R15" s="86">
        <f>'PS weights'!R15</f>
        <v>0</v>
      </c>
      <c r="S15" s="86">
        <f>'PS weights'!S15</f>
        <v>0</v>
      </c>
      <c r="T15" s="86">
        <f>'PS weights'!T15</f>
        <v>0</v>
      </c>
      <c r="U15" s="86">
        <f>'PS weights'!U15</f>
        <v>1</v>
      </c>
      <c r="V15" s="86">
        <f>'PS weights'!V15</f>
        <v>0</v>
      </c>
      <c r="W15" s="86">
        <f>'PS weights'!W15</f>
        <v>0</v>
      </c>
      <c r="X15" s="131">
        <f t="shared" si="3"/>
        <v>44.870999999999995</v>
      </c>
      <c r="Y15" s="89">
        <f t="shared" si="1"/>
        <v>0</v>
      </c>
      <c r="Z15" s="68"/>
      <c r="AA15" s="90"/>
      <c r="AB15" s="68"/>
    </row>
    <row r="16" spans="2:28" x14ac:dyDescent="0.25">
      <c r="B16" s="91"/>
      <c r="C16" s="92">
        <v>10</v>
      </c>
      <c r="D16" s="93">
        <f t="shared" si="0"/>
        <v>0</v>
      </c>
      <c r="E16" s="93">
        <f t="shared" si="0"/>
        <v>0</v>
      </c>
      <c r="F16" s="94">
        <f>'PS weights'!F16</f>
        <v>2.9725750610700775E-4</v>
      </c>
      <c r="G16" s="95">
        <f>'PS weights'!G16</f>
        <v>1.6826176785362773E-3</v>
      </c>
      <c r="H16" s="85">
        <f t="shared" si="2"/>
        <v>0</v>
      </c>
      <c r="I16" s="86">
        <f>'PS weights'!I16</f>
        <v>0.5</v>
      </c>
      <c r="J16" s="86">
        <f>'PS weights'!J16</f>
        <v>0</v>
      </c>
      <c r="K16" s="86">
        <f>'PS weights'!K16</f>
        <v>0</v>
      </c>
      <c r="L16" s="86">
        <f>'PS weights'!L16</f>
        <v>0</v>
      </c>
      <c r="M16" s="86">
        <f>'PS weights'!M16</f>
        <v>0</v>
      </c>
      <c r="N16" s="86">
        <f>'PS weights'!N16</f>
        <v>0</v>
      </c>
      <c r="O16" s="86">
        <f>'PS weights'!O16</f>
        <v>0</v>
      </c>
      <c r="P16" s="86">
        <f>'PS weights'!P16</f>
        <v>0</v>
      </c>
      <c r="Q16" s="86">
        <f>'PS weights'!Q16</f>
        <v>0.5</v>
      </c>
      <c r="R16" s="86">
        <f>'PS weights'!R16</f>
        <v>0</v>
      </c>
      <c r="S16" s="86">
        <f>'PS weights'!S16</f>
        <v>0</v>
      </c>
      <c r="T16" s="86">
        <f>'PS weights'!T16</f>
        <v>0</v>
      </c>
      <c r="U16" s="86">
        <f>'PS weights'!U16</f>
        <v>0</v>
      </c>
      <c r="V16" s="86">
        <f>'PS weights'!V16</f>
        <v>0</v>
      </c>
      <c r="W16" s="86">
        <f>'PS weights'!W16</f>
        <v>0</v>
      </c>
      <c r="X16" s="131">
        <f t="shared" si="3"/>
        <v>53.722574999999999</v>
      </c>
      <c r="Y16" s="89">
        <f t="shared" si="1"/>
        <v>0</v>
      </c>
      <c r="Z16" s="68"/>
      <c r="AA16" s="90"/>
      <c r="AB16" s="68"/>
    </row>
    <row r="17" spans="2:28" x14ac:dyDescent="0.25">
      <c r="B17" s="91"/>
      <c r="C17" s="92">
        <v>11</v>
      </c>
      <c r="D17" s="93">
        <f t="shared" si="0"/>
        <v>0</v>
      </c>
      <c r="E17" s="93">
        <f t="shared" si="0"/>
        <v>0</v>
      </c>
      <c r="F17" s="94">
        <f>'PS weights'!F17</f>
        <v>2.8492963538218163E-3</v>
      </c>
      <c r="G17" s="95">
        <f>'PS weights'!G17</f>
        <v>0.18472092022210046</v>
      </c>
      <c r="H17" s="85">
        <f t="shared" si="2"/>
        <v>0</v>
      </c>
      <c r="I17" s="86">
        <f>'PS weights'!I17</f>
        <v>0</v>
      </c>
      <c r="J17" s="86">
        <f>'PS weights'!J17</f>
        <v>0.75</v>
      </c>
      <c r="K17" s="86">
        <f>'PS weights'!K17</f>
        <v>0</v>
      </c>
      <c r="L17" s="86">
        <f>'PS weights'!L17</f>
        <v>0.25</v>
      </c>
      <c r="M17" s="86">
        <f>'PS weights'!M17</f>
        <v>0</v>
      </c>
      <c r="N17" s="86">
        <f>'PS weights'!N17</f>
        <v>0</v>
      </c>
      <c r="O17" s="86">
        <f>'PS weights'!O17</f>
        <v>0</v>
      </c>
      <c r="P17" s="86">
        <f>'PS weights'!P17</f>
        <v>0</v>
      </c>
      <c r="Q17" s="86">
        <f>'PS weights'!Q17</f>
        <v>0</v>
      </c>
      <c r="R17" s="86">
        <f>'PS weights'!R17</f>
        <v>0</v>
      </c>
      <c r="S17" s="86">
        <f>'PS weights'!S17</f>
        <v>0</v>
      </c>
      <c r="T17" s="86">
        <f>'PS weights'!T17</f>
        <v>0</v>
      </c>
      <c r="U17" s="86">
        <f>'PS weights'!U17</f>
        <v>0</v>
      </c>
      <c r="V17" s="86">
        <f>'PS weights'!V17</f>
        <v>0</v>
      </c>
      <c r="W17" s="86">
        <f>'PS weights'!W17</f>
        <v>0</v>
      </c>
      <c r="X17" s="131">
        <f t="shared" si="3"/>
        <v>51.36</v>
      </c>
      <c r="Y17" s="89">
        <f t="shared" si="1"/>
        <v>0</v>
      </c>
      <c r="Z17" s="68"/>
      <c r="AA17" s="90"/>
      <c r="AB17" s="68"/>
    </row>
    <row r="18" spans="2:28" x14ac:dyDescent="0.25">
      <c r="B18" s="91"/>
      <c r="C18" s="92">
        <v>12</v>
      </c>
      <c r="D18" s="93">
        <f t="shared" si="0"/>
        <v>0</v>
      </c>
      <c r="E18" s="93">
        <f t="shared" si="0"/>
        <v>0</v>
      </c>
      <c r="F18" s="94">
        <f>'PS weights'!F18</f>
        <v>0</v>
      </c>
      <c r="G18" s="95">
        <f>'PS weights'!G18</f>
        <v>0</v>
      </c>
      <c r="H18" s="85">
        <f t="shared" si="2"/>
        <v>0</v>
      </c>
      <c r="I18" s="86">
        <f>'PS weights'!I18</f>
        <v>0</v>
      </c>
      <c r="J18" s="86">
        <f>'PS weights'!J18</f>
        <v>0</v>
      </c>
      <c r="K18" s="86">
        <f>'PS weights'!K18</f>
        <v>0</v>
      </c>
      <c r="L18" s="86">
        <f>'PS weights'!L18</f>
        <v>0</v>
      </c>
      <c r="M18" s="86">
        <f>'PS weights'!M18</f>
        <v>0</v>
      </c>
      <c r="N18" s="86">
        <f>'PS weights'!N18</f>
        <v>1</v>
      </c>
      <c r="O18" s="86">
        <f>'PS weights'!O18</f>
        <v>0</v>
      </c>
      <c r="P18" s="86">
        <f>'PS weights'!P18</f>
        <v>0</v>
      </c>
      <c r="Q18" s="86">
        <f>'PS weights'!Q18</f>
        <v>0</v>
      </c>
      <c r="R18" s="86">
        <f>'PS weights'!R18</f>
        <v>0</v>
      </c>
      <c r="S18" s="86">
        <f>'PS weights'!S18</f>
        <v>0</v>
      </c>
      <c r="T18" s="86">
        <f>'PS weights'!T18</f>
        <v>0</v>
      </c>
      <c r="U18" s="86">
        <f>'PS weights'!U18</f>
        <v>0</v>
      </c>
      <c r="V18" s="86">
        <f>'PS weights'!V18</f>
        <v>0</v>
      </c>
      <c r="W18" s="86">
        <f>'PS weights'!W18</f>
        <v>0</v>
      </c>
      <c r="X18" s="131">
        <f t="shared" si="3"/>
        <v>45.515999999999998</v>
      </c>
      <c r="Y18" s="89">
        <f t="shared" si="1"/>
        <v>0</v>
      </c>
      <c r="Z18" s="68"/>
      <c r="AA18" s="90"/>
      <c r="AB18" s="68"/>
    </row>
    <row r="19" spans="2:28" x14ac:dyDescent="0.25">
      <c r="B19" s="91"/>
      <c r="C19" s="92">
        <v>13</v>
      </c>
      <c r="D19" s="93">
        <f t="shared" si="0"/>
        <v>0</v>
      </c>
      <c r="E19" s="93">
        <f t="shared" si="0"/>
        <v>0</v>
      </c>
      <c r="F19" s="94">
        <f>'PS weights'!F19</f>
        <v>6.7877218971820676E-4</v>
      </c>
      <c r="G19" s="95">
        <f>'PS weights'!G19</f>
        <v>2.5094139152738438E-2</v>
      </c>
      <c r="H19" s="85">
        <f t="shared" si="2"/>
        <v>0</v>
      </c>
      <c r="I19" s="86">
        <f>'PS weights'!I19</f>
        <v>0</v>
      </c>
      <c r="J19" s="86">
        <f>'PS weights'!J19</f>
        <v>0</v>
      </c>
      <c r="K19" s="86">
        <f>'PS weights'!K19</f>
        <v>1</v>
      </c>
      <c r="L19" s="86">
        <f>'PS weights'!L19</f>
        <v>0</v>
      </c>
      <c r="M19" s="86">
        <f>'PS weights'!M19</f>
        <v>0</v>
      </c>
      <c r="N19" s="86">
        <f>'PS weights'!N19</f>
        <v>0</v>
      </c>
      <c r="O19" s="86">
        <f>'PS weights'!O19</f>
        <v>0</v>
      </c>
      <c r="P19" s="86">
        <f>'PS weights'!P19</f>
        <v>0</v>
      </c>
      <c r="Q19" s="86">
        <f>'PS weights'!Q19</f>
        <v>0</v>
      </c>
      <c r="R19" s="86">
        <f>'PS weights'!R19</f>
        <v>0</v>
      </c>
      <c r="S19" s="86">
        <f>'PS weights'!S19</f>
        <v>0</v>
      </c>
      <c r="T19" s="86">
        <f>'PS weights'!T19</f>
        <v>0</v>
      </c>
      <c r="U19" s="86">
        <f>'PS weights'!U19</f>
        <v>0</v>
      </c>
      <c r="V19" s="86">
        <f>'PS weights'!V19</f>
        <v>0</v>
      </c>
      <c r="W19" s="86">
        <f>'PS weights'!W19</f>
        <v>0</v>
      </c>
      <c r="X19" s="131">
        <f t="shared" si="3"/>
        <v>54.163724999999992</v>
      </c>
      <c r="Y19" s="89">
        <f t="shared" si="1"/>
        <v>0</v>
      </c>
      <c r="Z19" s="68"/>
      <c r="AA19" s="90"/>
      <c r="AB19" s="68"/>
    </row>
    <row r="20" spans="2:28" x14ac:dyDescent="0.25">
      <c r="B20" s="91"/>
      <c r="C20" s="92">
        <v>14</v>
      </c>
      <c r="D20" s="93">
        <f t="shared" si="0"/>
        <v>0</v>
      </c>
      <c r="E20" s="93">
        <f t="shared" si="0"/>
        <v>0</v>
      </c>
      <c r="F20" s="94">
        <f>'PS weights'!F20</f>
        <v>2.8865355238410112E-4</v>
      </c>
      <c r="G20" s="95">
        <f>'PS weights'!G20</f>
        <v>2.8354049369331709E-3</v>
      </c>
      <c r="H20" s="85">
        <f t="shared" si="2"/>
        <v>0</v>
      </c>
      <c r="I20" s="86">
        <f>'PS weights'!I20</f>
        <v>0</v>
      </c>
      <c r="J20" s="86">
        <f>'PS weights'!J20</f>
        <v>0.8</v>
      </c>
      <c r="K20" s="86">
        <f>'PS weights'!K20</f>
        <v>0</v>
      </c>
      <c r="L20" s="86">
        <f>'PS weights'!L20</f>
        <v>0</v>
      </c>
      <c r="M20" s="86">
        <f>'PS weights'!M20</f>
        <v>0</v>
      </c>
      <c r="N20" s="86">
        <f>'PS weights'!N20</f>
        <v>0.2</v>
      </c>
      <c r="O20" s="86">
        <f>'PS weights'!O20</f>
        <v>0</v>
      </c>
      <c r="P20" s="86">
        <f>'PS weights'!P20</f>
        <v>0</v>
      </c>
      <c r="Q20" s="86">
        <f>'PS weights'!Q20</f>
        <v>0</v>
      </c>
      <c r="R20" s="86">
        <f>'PS weights'!R20</f>
        <v>0</v>
      </c>
      <c r="S20" s="86">
        <f>'PS weights'!S20</f>
        <v>0</v>
      </c>
      <c r="T20" s="86">
        <f>'PS weights'!T20</f>
        <v>0</v>
      </c>
      <c r="U20" s="86">
        <f>'PS weights'!U20</f>
        <v>0</v>
      </c>
      <c r="V20" s="86">
        <f>'PS weights'!V20</f>
        <v>0</v>
      </c>
      <c r="W20" s="86">
        <f>'PS weights'!W20</f>
        <v>0</v>
      </c>
      <c r="X20" s="131">
        <f t="shared" si="3"/>
        <v>48</v>
      </c>
      <c r="Y20" s="89">
        <f t="shared" si="1"/>
        <v>0</v>
      </c>
      <c r="Z20" s="68"/>
      <c r="AA20" s="90"/>
      <c r="AB20" s="68"/>
    </row>
    <row r="21" spans="2:28" x14ac:dyDescent="0.25">
      <c r="B21" s="91"/>
      <c r="C21" s="92">
        <v>15</v>
      </c>
      <c r="D21" s="93">
        <f t="shared" si="0"/>
        <v>0</v>
      </c>
      <c r="E21" s="93">
        <f t="shared" si="0"/>
        <v>0</v>
      </c>
      <c r="F21" s="94">
        <f>'PS weights'!F21</f>
        <v>1.2185194273241579E-2</v>
      </c>
      <c r="G21" s="95">
        <f>'PS weights'!G21</f>
        <v>9.7760378489382155E-2</v>
      </c>
      <c r="H21" s="85">
        <f t="shared" si="2"/>
        <v>0</v>
      </c>
      <c r="I21" s="86">
        <f>'PS weights'!I21</f>
        <v>0</v>
      </c>
      <c r="J21" s="86">
        <f>'PS weights'!J21</f>
        <v>0</v>
      </c>
      <c r="K21" s="86">
        <f>'PS weights'!K21</f>
        <v>0</v>
      </c>
      <c r="L21" s="86">
        <f>'PS weights'!L21</f>
        <v>0.1</v>
      </c>
      <c r="M21" s="86">
        <f>'PS weights'!M21</f>
        <v>0</v>
      </c>
      <c r="N21" s="86">
        <f>'PS weights'!N21</f>
        <v>0.1</v>
      </c>
      <c r="O21" s="86">
        <f>'PS weights'!O21</f>
        <v>0</v>
      </c>
      <c r="P21" s="86">
        <f>'PS weights'!P21</f>
        <v>0</v>
      </c>
      <c r="Q21" s="86">
        <f>'PS weights'!Q21</f>
        <v>0.31</v>
      </c>
      <c r="R21" s="86">
        <f>'PS weights'!R21</f>
        <v>0.31</v>
      </c>
      <c r="S21" s="86">
        <f>'PS weights'!S21</f>
        <v>0</v>
      </c>
      <c r="T21" s="86">
        <f>'PS weights'!T21</f>
        <v>0.18</v>
      </c>
      <c r="U21" s="86">
        <f>'PS weights'!U21</f>
        <v>0</v>
      </c>
      <c r="V21" s="86">
        <f>'PS weights'!V21</f>
        <v>0</v>
      </c>
      <c r="W21" s="86">
        <f>'PS weights'!W21</f>
        <v>0</v>
      </c>
      <c r="X21" s="131">
        <f t="shared" si="3"/>
        <v>59.786620124999999</v>
      </c>
      <c r="Y21" s="89">
        <f t="shared" si="1"/>
        <v>0</v>
      </c>
      <c r="Z21" s="68"/>
      <c r="AA21" s="90"/>
      <c r="AB21" s="68"/>
    </row>
    <row r="22" spans="2:28" ht="15.75" thickBot="1" x14ac:dyDescent="0.3">
      <c r="B22" s="96"/>
      <c r="C22" s="97">
        <v>16</v>
      </c>
      <c r="D22" s="98">
        <f t="shared" si="0"/>
        <v>0</v>
      </c>
      <c r="E22" s="98">
        <f t="shared" si="0"/>
        <v>0</v>
      </c>
      <c r="F22" s="99">
        <f>'PS weights'!F22</f>
        <v>3.4907177108483296E-2</v>
      </c>
      <c r="G22" s="100">
        <f>'PS weights'!G22</f>
        <v>0.15116063021669446</v>
      </c>
      <c r="H22" s="101">
        <f t="shared" si="2"/>
        <v>0</v>
      </c>
      <c r="I22" s="86">
        <f>'PS weights'!I22</f>
        <v>0</v>
      </c>
      <c r="J22" s="86">
        <f>'PS weights'!J22</f>
        <v>0</v>
      </c>
      <c r="K22" s="86">
        <f>'PS weights'!K22</f>
        <v>1</v>
      </c>
      <c r="L22" s="86">
        <f>'PS weights'!L22</f>
        <v>0</v>
      </c>
      <c r="M22" s="86">
        <f>'PS weights'!M22</f>
        <v>0</v>
      </c>
      <c r="N22" s="86">
        <f>'PS weights'!N22</f>
        <v>0</v>
      </c>
      <c r="O22" s="86">
        <f>'PS weights'!O22</f>
        <v>0</v>
      </c>
      <c r="P22" s="86">
        <f>'PS weights'!P22</f>
        <v>0</v>
      </c>
      <c r="Q22" s="86">
        <f>'PS weights'!Q22</f>
        <v>0</v>
      </c>
      <c r="R22" s="86">
        <f>'PS weights'!R22</f>
        <v>0</v>
      </c>
      <c r="S22" s="86">
        <f>'PS weights'!S22</f>
        <v>0</v>
      </c>
      <c r="T22" s="86">
        <f>'PS weights'!T22</f>
        <v>0</v>
      </c>
      <c r="U22" s="86">
        <f>'PS weights'!U22</f>
        <v>0</v>
      </c>
      <c r="V22" s="86">
        <f>'PS weights'!V22</f>
        <v>0</v>
      </c>
      <c r="W22" s="86">
        <f>'PS weights'!W22</f>
        <v>0</v>
      </c>
      <c r="X22" s="104">
        <f t="shared" si="3"/>
        <v>54.163724999999992</v>
      </c>
      <c r="Y22" s="105">
        <f t="shared" si="1"/>
        <v>0</v>
      </c>
      <c r="Z22" s="68"/>
      <c r="AA22" s="80"/>
      <c r="AB22" s="68"/>
    </row>
    <row r="23" spans="2:28" ht="15.75" thickBot="1" x14ac:dyDescent="0.3">
      <c r="E23" s="106" t="s">
        <v>129</v>
      </c>
      <c r="F23" s="107">
        <f>SUM(F8:F22)</f>
        <v>0.16455622824873437</v>
      </c>
      <c r="G23" s="107">
        <f>SUM(G8:G22)</f>
        <v>0.71887453174919835</v>
      </c>
      <c r="H23" s="108" t="s">
        <v>130</v>
      </c>
      <c r="I23" s="109">
        <f t="shared" ref="I23:W23" si="4">I24*I6</f>
        <v>0</v>
      </c>
      <c r="J23" s="109">
        <f t="shared" si="4"/>
        <v>0</v>
      </c>
      <c r="K23" s="109">
        <f t="shared" si="4"/>
        <v>0</v>
      </c>
      <c r="L23" s="109">
        <f t="shared" si="4"/>
        <v>0</v>
      </c>
      <c r="M23" s="109">
        <f t="shared" si="4"/>
        <v>0</v>
      </c>
      <c r="N23" s="109">
        <f t="shared" si="4"/>
        <v>0</v>
      </c>
      <c r="O23" s="109">
        <f t="shared" si="4"/>
        <v>0</v>
      </c>
      <c r="P23" s="109">
        <f t="shared" si="4"/>
        <v>0</v>
      </c>
      <c r="Q23" s="109">
        <f t="shared" si="4"/>
        <v>0</v>
      </c>
      <c r="R23" s="109">
        <f t="shared" si="4"/>
        <v>0</v>
      </c>
      <c r="S23" s="109">
        <f t="shared" si="4"/>
        <v>0</v>
      </c>
      <c r="T23" s="109">
        <f t="shared" si="4"/>
        <v>0</v>
      </c>
      <c r="U23" s="109">
        <f t="shared" si="4"/>
        <v>0</v>
      </c>
      <c r="V23" s="110">
        <f t="shared" si="4"/>
        <v>0</v>
      </c>
      <c r="W23" s="111">
        <f t="shared" si="4"/>
        <v>0</v>
      </c>
      <c r="X23" s="112"/>
      <c r="Y23" s="113"/>
      <c r="Z23" s="68"/>
      <c r="AA23" s="68"/>
      <c r="AB23" s="68"/>
    </row>
    <row r="24" spans="2:28" ht="15.75" thickBot="1" x14ac:dyDescent="0.3">
      <c r="F24" s="114"/>
      <c r="G24" s="114"/>
      <c r="H24" s="108" t="s">
        <v>131</v>
      </c>
      <c r="I24" s="115">
        <f>I8*$Y$8+I9*$Y$9+I10*$Y$10+I11*$Y$11+I12*$Y$12+I13*$Y$13+I14*$Y$14+I15*$Y$15+I16*$Y$16+I17*$Y$17+I18*$Y$18+I19*$Y$19+I20*$Y$20+I21*$Y$21+I22*$Y$22</f>
        <v>0</v>
      </c>
      <c r="J24" s="115">
        <f t="shared" ref="J24:W24" si="5">J8*$Y$8+J9*$Y$9+J10*$Y$10+J11*$Y$11+J12*$Y$12+J13*$Y$13+J14*$Y$14+J15*$Y$15+J16*$Y$16+J17*$Y$17+J18*$Y$18+J19*$Y$19+J20*$Y$20+J21*$Y$21+J22*$Y$22</f>
        <v>0</v>
      </c>
      <c r="K24" s="115">
        <f t="shared" si="5"/>
        <v>0</v>
      </c>
      <c r="L24" s="115">
        <f t="shared" si="5"/>
        <v>0</v>
      </c>
      <c r="M24" s="115">
        <f t="shared" si="5"/>
        <v>0</v>
      </c>
      <c r="N24" s="115">
        <f t="shared" si="5"/>
        <v>0</v>
      </c>
      <c r="O24" s="115">
        <f t="shared" si="5"/>
        <v>0</v>
      </c>
      <c r="P24" s="115">
        <f t="shared" si="5"/>
        <v>0</v>
      </c>
      <c r="Q24" s="115">
        <f t="shared" si="5"/>
        <v>0</v>
      </c>
      <c r="R24" s="115">
        <f t="shared" si="5"/>
        <v>0</v>
      </c>
      <c r="S24" s="115">
        <f t="shared" si="5"/>
        <v>0</v>
      </c>
      <c r="T24" s="115">
        <f t="shared" si="5"/>
        <v>0</v>
      </c>
      <c r="U24" s="115">
        <f t="shared" si="5"/>
        <v>0</v>
      </c>
      <c r="V24" s="116">
        <f t="shared" si="5"/>
        <v>0</v>
      </c>
      <c r="W24" s="117">
        <f t="shared" si="5"/>
        <v>0</v>
      </c>
      <c r="X24" s="118"/>
      <c r="Y24" s="119">
        <f>SUM(Y8:Y22)</f>
        <v>0</v>
      </c>
      <c r="Z24" s="68"/>
      <c r="AA24" s="68"/>
      <c r="AB24" s="68"/>
    </row>
    <row r="25" spans="2:28" x14ac:dyDescent="0.25">
      <c r="B25" s="68"/>
      <c r="C25" s="68"/>
      <c r="D25" s="68"/>
      <c r="E25" s="68"/>
      <c r="F25" s="120"/>
      <c r="G25" s="120"/>
      <c r="I25" s="121"/>
      <c r="J25" s="121"/>
      <c r="K25" s="121"/>
      <c r="L25" s="121"/>
      <c r="M25" s="121"/>
      <c r="N25" s="121"/>
      <c r="O25" s="121"/>
      <c r="P25" s="121"/>
      <c r="Q25" s="121"/>
      <c r="R25" s="121"/>
      <c r="S25" s="121"/>
      <c r="T25" s="121"/>
      <c r="U25" s="121"/>
      <c r="V25" s="121"/>
      <c r="W25" s="121"/>
      <c r="X25" s="68"/>
      <c r="Y25" s="68"/>
      <c r="Z25" s="68"/>
      <c r="AA25" s="68"/>
      <c r="AB25" s="68"/>
    </row>
    <row r="26" spans="2:28" x14ac:dyDescent="0.25">
      <c r="B26" s="122"/>
      <c r="C26" s="68"/>
      <c r="D26" s="68"/>
      <c r="E26" s="68"/>
      <c r="F26" s="68"/>
      <c r="G26" s="68"/>
      <c r="H26" s="68"/>
      <c r="I26" s="90"/>
      <c r="J26" s="90"/>
      <c r="K26" s="90"/>
      <c r="L26" s="90"/>
      <c r="M26" s="90"/>
      <c r="N26" s="90"/>
      <c r="O26" s="90"/>
      <c r="P26" s="90"/>
      <c r="Q26" s="90"/>
      <c r="R26" s="90"/>
      <c r="S26" s="90"/>
      <c r="T26" s="90"/>
      <c r="U26" s="90"/>
      <c r="V26" s="90"/>
      <c r="W26" s="90"/>
      <c r="X26" s="68"/>
      <c r="Y26" s="68"/>
      <c r="Z26" s="68"/>
      <c r="AA26" s="68"/>
      <c r="AB26" s="68"/>
    </row>
    <row r="27" spans="2:28" x14ac:dyDescent="0.25">
      <c r="B27" s="122"/>
      <c r="C27" s="122"/>
      <c r="D27" s="122"/>
      <c r="E27" s="122">
        <v>1</v>
      </c>
      <c r="F27" s="123"/>
      <c r="G27" s="122"/>
      <c r="H27" s="122"/>
      <c r="I27" s="124" t="str">
        <f>I5</f>
        <v>Carpenters</v>
      </c>
      <c r="J27" s="125">
        <f>I24</f>
        <v>0</v>
      </c>
      <c r="K27" s="122"/>
      <c r="L27" s="122"/>
      <c r="M27" s="122"/>
      <c r="N27" s="122"/>
      <c r="O27" s="122"/>
      <c r="P27" s="122"/>
      <c r="Q27" s="122"/>
      <c r="R27" s="122"/>
      <c r="S27" s="122"/>
      <c r="T27" s="122"/>
      <c r="U27" s="122"/>
      <c r="V27" s="122"/>
      <c r="W27" s="68"/>
      <c r="X27" s="68"/>
      <c r="Y27" s="68"/>
      <c r="Z27" s="68"/>
      <c r="AA27" s="68"/>
    </row>
    <row r="28" spans="2:28" ht="15.75" x14ac:dyDescent="0.25">
      <c r="B28" s="122"/>
      <c r="C28" s="122"/>
      <c r="D28" s="122"/>
      <c r="E28" s="122">
        <v>2</v>
      </c>
      <c r="F28" s="123"/>
      <c r="G28" s="122"/>
      <c r="H28" s="122"/>
      <c r="I28" s="124" t="str">
        <f>K5</f>
        <v>Electricians</v>
      </c>
      <c r="J28" s="125">
        <f>K24</f>
        <v>0</v>
      </c>
      <c r="K28" s="126"/>
      <c r="L28" s="126"/>
      <c r="M28" s="126"/>
      <c r="N28" s="126"/>
      <c r="O28" s="126"/>
      <c r="P28" s="126"/>
      <c r="Q28" s="126"/>
      <c r="R28" s="126"/>
      <c r="S28" s="126"/>
      <c r="T28" s="126"/>
      <c r="U28" s="126"/>
      <c r="V28" s="126"/>
      <c r="W28" s="68"/>
      <c r="Y28" s="68"/>
    </row>
    <row r="29" spans="2:28" ht="15.75" x14ac:dyDescent="0.25">
      <c r="B29" s="122"/>
      <c r="C29" s="122"/>
      <c r="D29" s="123"/>
      <c r="E29" s="122">
        <v>3</v>
      </c>
      <c r="F29" s="123"/>
      <c r="G29" s="122"/>
      <c r="H29" s="122"/>
      <c r="I29" s="124" t="str">
        <f>L5</f>
        <v>Heavy Equipment Operators</v>
      </c>
      <c r="J29" s="125">
        <f>L24</f>
        <v>0</v>
      </c>
      <c r="K29" s="122"/>
      <c r="L29" s="122"/>
      <c r="M29" s="122"/>
      <c r="N29" s="122"/>
      <c r="O29" s="127"/>
      <c r="P29" s="122"/>
      <c r="Q29" s="122"/>
      <c r="R29" s="122"/>
      <c r="S29" s="122"/>
      <c r="T29" s="122"/>
      <c r="U29" s="122"/>
      <c r="V29" s="122"/>
      <c r="W29" s="68"/>
      <c r="Y29" s="68"/>
    </row>
    <row r="30" spans="2:28" ht="15.75" x14ac:dyDescent="0.25">
      <c r="B30" s="122"/>
      <c r="C30" s="122"/>
      <c r="D30" s="123"/>
      <c r="E30" s="122">
        <v>4</v>
      </c>
      <c r="F30" s="123"/>
      <c r="G30" s="122"/>
      <c r="H30" s="122"/>
      <c r="I30" s="124" t="str">
        <f>M5</f>
        <v>Ironworkers - reinforcing steel</v>
      </c>
      <c r="J30" s="125">
        <f>M24</f>
        <v>0</v>
      </c>
      <c r="K30" s="122"/>
      <c r="L30" s="122"/>
      <c r="M30" s="122"/>
      <c r="N30" s="122"/>
      <c r="O30" s="127"/>
      <c r="P30" s="122"/>
      <c r="Q30" s="122"/>
      <c r="R30" s="122"/>
      <c r="S30" s="122"/>
      <c r="T30" s="122"/>
      <c r="U30" s="122"/>
      <c r="V30" s="122"/>
      <c r="W30" s="68"/>
      <c r="Y30" s="68"/>
    </row>
    <row r="31" spans="2:28" ht="15.75" x14ac:dyDescent="0.25">
      <c r="B31" s="122"/>
      <c r="C31" s="122"/>
      <c r="D31" s="123"/>
      <c r="E31" s="122">
        <v>5</v>
      </c>
      <c r="F31" s="123"/>
      <c r="G31" s="122"/>
      <c r="H31" s="122"/>
      <c r="I31" s="124" t="str">
        <f>N5</f>
        <v>Laborers</v>
      </c>
      <c r="J31" s="125">
        <f>N24</f>
        <v>0</v>
      </c>
      <c r="K31" s="122"/>
      <c r="L31" s="122"/>
      <c r="M31" s="122"/>
      <c r="N31" s="122"/>
      <c r="O31" s="127"/>
      <c r="P31" s="122"/>
      <c r="Q31" s="122"/>
      <c r="R31" s="122"/>
      <c r="S31" s="122"/>
      <c r="T31" s="122"/>
      <c r="U31" s="122"/>
      <c r="V31" s="122"/>
      <c r="W31" s="68"/>
      <c r="Y31" s="68"/>
    </row>
    <row r="32" spans="2:28" ht="15.75" x14ac:dyDescent="0.25">
      <c r="B32" s="122"/>
      <c r="C32" s="122"/>
      <c r="D32" s="123"/>
      <c r="E32" s="122">
        <v>6</v>
      </c>
      <c r="F32" s="123"/>
      <c r="G32" s="122"/>
      <c r="H32" s="122"/>
      <c r="I32" s="124" t="str">
        <f>O5</f>
        <v>Masons</v>
      </c>
      <c r="J32" s="125">
        <f>O24</f>
        <v>0</v>
      </c>
      <c r="K32" s="122"/>
      <c r="L32" s="122"/>
      <c r="M32" s="122"/>
      <c r="N32" s="122"/>
      <c r="O32" s="127"/>
      <c r="P32" s="122"/>
      <c r="Q32" s="122"/>
      <c r="R32" s="122"/>
      <c r="S32" s="122"/>
      <c r="T32" s="122"/>
      <c r="U32" s="122"/>
      <c r="V32" s="122"/>
      <c r="W32" s="68"/>
      <c r="Y32" s="68"/>
    </row>
    <row r="33" spans="2:25" ht="15.75" x14ac:dyDescent="0.25">
      <c r="B33" s="122"/>
      <c r="C33" s="122"/>
      <c r="D33" s="123"/>
      <c r="E33" s="122">
        <v>7</v>
      </c>
      <c r="F33" s="123"/>
      <c r="G33" s="122"/>
      <c r="H33" s="122"/>
      <c r="I33" s="124" t="str">
        <f>J5</f>
        <v>Millwrights</v>
      </c>
      <c r="J33" s="125">
        <f>J24</f>
        <v>0</v>
      </c>
      <c r="K33" s="122"/>
      <c r="L33" s="122"/>
      <c r="M33" s="122"/>
      <c r="N33" s="122"/>
      <c r="O33" s="127"/>
      <c r="P33" s="122"/>
      <c r="Q33" s="122"/>
      <c r="R33" s="122"/>
      <c r="S33" s="122"/>
      <c r="T33" s="122"/>
      <c r="U33" s="122"/>
      <c r="V33" s="122"/>
      <c r="W33" s="68"/>
      <c r="Y33" s="68"/>
    </row>
    <row r="34" spans="2:25" ht="15.75" x14ac:dyDescent="0.25">
      <c r="B34" s="122"/>
      <c r="C34" s="122"/>
      <c r="D34" s="123"/>
      <c r="E34" s="122">
        <v>8</v>
      </c>
      <c r="F34" s="123"/>
      <c r="G34" s="122"/>
      <c r="H34" s="122"/>
      <c r="I34" s="124" t="str">
        <f>U5</f>
        <v>Painter</v>
      </c>
      <c r="J34" s="125">
        <f>U24</f>
        <v>0</v>
      </c>
      <c r="K34" s="122"/>
      <c r="L34" s="128"/>
      <c r="M34" s="122"/>
      <c r="N34" s="122"/>
      <c r="O34" s="127"/>
      <c r="P34" s="122"/>
      <c r="Q34" s="122"/>
      <c r="R34" s="122"/>
      <c r="S34" s="122"/>
      <c r="T34" s="122"/>
      <c r="U34" s="122"/>
      <c r="V34" s="122"/>
      <c r="W34" s="68"/>
      <c r="Y34" s="68"/>
    </row>
    <row r="35" spans="2:25" ht="15.75" x14ac:dyDescent="0.25">
      <c r="B35" s="122"/>
      <c r="C35" s="122"/>
      <c r="D35" s="123"/>
      <c r="E35" s="122">
        <v>9</v>
      </c>
      <c r="F35" s="123"/>
      <c r="G35" s="122"/>
      <c r="H35" s="122"/>
      <c r="I35" s="124" t="str">
        <f>T5</f>
        <v>Pipefitter</v>
      </c>
      <c r="J35" s="125">
        <f>T24</f>
        <v>0</v>
      </c>
      <c r="K35" s="122"/>
      <c r="L35" s="122"/>
      <c r="M35" s="122"/>
      <c r="N35" s="122"/>
      <c r="O35" s="127"/>
      <c r="P35" s="122"/>
      <c r="Q35" s="122"/>
      <c r="R35" s="122"/>
      <c r="S35" s="122"/>
      <c r="T35" s="122"/>
      <c r="U35" s="122"/>
      <c r="V35" s="122"/>
      <c r="W35" s="68"/>
      <c r="Y35" s="68"/>
    </row>
    <row r="36" spans="2:25" ht="15.75" x14ac:dyDescent="0.25">
      <c r="B36" s="122"/>
      <c r="C36" s="122"/>
      <c r="D36" s="123"/>
      <c r="E36" s="122">
        <v>10</v>
      </c>
      <c r="F36" s="123"/>
      <c r="G36" s="122"/>
      <c r="H36" s="122"/>
      <c r="I36" s="124" t="str">
        <f>Q5</f>
        <v>Plumbers</v>
      </c>
      <c r="J36" s="125">
        <f>Q24</f>
        <v>0</v>
      </c>
      <c r="K36" s="122"/>
      <c r="L36" s="122"/>
      <c r="M36" s="122"/>
      <c r="N36" s="122"/>
      <c r="O36" s="127"/>
      <c r="P36" s="122"/>
      <c r="Q36" s="122"/>
      <c r="R36" s="122"/>
      <c r="S36" s="122"/>
      <c r="T36" s="122"/>
      <c r="U36" s="122"/>
      <c r="V36" s="122"/>
      <c r="W36" s="68"/>
      <c r="Y36" s="68"/>
    </row>
    <row r="37" spans="2:25" ht="15.75" x14ac:dyDescent="0.25">
      <c r="B37" s="122"/>
      <c r="C37" s="122"/>
      <c r="D37" s="123"/>
      <c r="E37" s="122">
        <v>11</v>
      </c>
      <c r="F37" s="123"/>
      <c r="G37" s="122"/>
      <c r="H37" s="122"/>
      <c r="I37" s="124" t="str">
        <f>W5</f>
        <v>Roofer</v>
      </c>
      <c r="J37" s="125">
        <f>W24</f>
        <v>0</v>
      </c>
      <c r="K37" s="122"/>
      <c r="L37" s="122"/>
      <c r="M37" s="122"/>
      <c r="N37" s="122"/>
      <c r="O37" s="127"/>
      <c r="P37" s="122"/>
      <c r="Q37" s="122"/>
      <c r="R37" s="122"/>
      <c r="S37" s="122"/>
      <c r="T37" s="122"/>
      <c r="U37" s="122"/>
      <c r="V37" s="122"/>
      <c r="W37" s="68"/>
      <c r="Y37" s="68"/>
    </row>
    <row r="38" spans="2:25" ht="15.75" x14ac:dyDescent="0.25">
      <c r="B38" s="122"/>
      <c r="C38" s="122"/>
      <c r="D38" s="123"/>
      <c r="E38" s="122">
        <v>12</v>
      </c>
      <c r="F38" s="123"/>
      <c r="G38" s="122"/>
      <c r="H38" s="122"/>
      <c r="I38" s="124" t="str">
        <f>R5</f>
        <v>Sheet Metal Workers</v>
      </c>
      <c r="J38" s="125">
        <f>R24</f>
        <v>0</v>
      </c>
      <c r="K38" s="122"/>
      <c r="L38" s="122"/>
      <c r="M38" s="122"/>
      <c r="N38" s="122"/>
      <c r="O38" s="127"/>
      <c r="P38" s="122"/>
      <c r="Q38" s="122"/>
      <c r="R38" s="122"/>
      <c r="S38" s="122"/>
      <c r="T38" s="122"/>
      <c r="U38" s="122"/>
      <c r="V38" s="122"/>
      <c r="W38" s="68"/>
      <c r="Y38" s="68"/>
    </row>
    <row r="39" spans="2:25" ht="15.75" x14ac:dyDescent="0.25">
      <c r="B39" s="122"/>
      <c r="C39" s="122"/>
      <c r="D39" s="123"/>
      <c r="E39" s="122">
        <v>13</v>
      </c>
      <c r="F39" s="123"/>
      <c r="G39" s="122"/>
      <c r="H39" s="122"/>
      <c r="I39" s="124" t="str">
        <f>V5</f>
        <v>Specialty Labor</v>
      </c>
      <c r="J39" s="125">
        <f>V24</f>
        <v>0</v>
      </c>
      <c r="K39" s="122"/>
      <c r="L39" s="122"/>
      <c r="M39" s="122"/>
      <c r="N39" s="122"/>
      <c r="O39" s="127"/>
      <c r="P39" s="122"/>
      <c r="Q39" s="122"/>
      <c r="R39" s="122"/>
      <c r="S39" s="122"/>
      <c r="T39" s="122"/>
      <c r="U39" s="122"/>
      <c r="V39" s="122"/>
      <c r="W39" s="68"/>
    </row>
    <row r="40" spans="2:25" x14ac:dyDescent="0.25">
      <c r="B40" s="122"/>
      <c r="C40" s="122"/>
      <c r="D40" s="123"/>
      <c r="E40" s="123"/>
      <c r="F40" s="129"/>
      <c r="G40" s="129"/>
      <c r="H40" s="122"/>
      <c r="I40" s="122"/>
      <c r="J40" s="122"/>
      <c r="K40" s="122"/>
      <c r="L40" s="122"/>
      <c r="M40" s="122"/>
      <c r="N40" s="122"/>
      <c r="O40" s="122"/>
      <c r="P40" s="122"/>
      <c r="Q40" s="122"/>
      <c r="R40" s="122"/>
      <c r="S40" s="122"/>
      <c r="T40" s="122"/>
      <c r="U40" s="122"/>
      <c r="V40" s="122"/>
      <c r="W40" s="68"/>
    </row>
    <row r="41" spans="2:25" x14ac:dyDescent="0.25">
      <c r="B41" s="122"/>
      <c r="C41" s="122"/>
      <c r="D41" s="123"/>
      <c r="E41" s="123"/>
      <c r="F41" s="129"/>
      <c r="G41" s="129"/>
      <c r="H41" s="122"/>
      <c r="I41" s="122"/>
      <c r="J41" s="122"/>
      <c r="K41" s="122"/>
      <c r="L41" s="122"/>
      <c r="M41" s="122"/>
      <c r="N41" s="122"/>
      <c r="O41" s="122"/>
      <c r="P41" s="122"/>
      <c r="Q41" s="122"/>
      <c r="R41" s="122"/>
      <c r="S41" s="122"/>
      <c r="T41" s="122"/>
      <c r="U41" s="122"/>
      <c r="V41" s="122"/>
      <c r="W41" s="68"/>
    </row>
    <row r="42" spans="2:25" x14ac:dyDescent="0.25">
      <c r="B42" s="122"/>
      <c r="C42" s="122"/>
      <c r="D42" s="122"/>
      <c r="E42" s="122"/>
      <c r="F42" s="122"/>
      <c r="G42" s="122"/>
      <c r="H42" s="122"/>
      <c r="I42" s="122"/>
      <c r="J42" s="122"/>
      <c r="K42" s="122"/>
      <c r="L42" s="122"/>
      <c r="M42" s="122"/>
      <c r="N42" s="122"/>
      <c r="O42" s="122"/>
      <c r="P42" s="122"/>
      <c r="Q42" s="122"/>
      <c r="R42" s="122"/>
      <c r="S42" s="122"/>
      <c r="T42" s="122"/>
      <c r="U42" s="122"/>
      <c r="V42" s="122"/>
      <c r="W42" s="68"/>
    </row>
    <row r="43" spans="2:25" x14ac:dyDescent="0.25">
      <c r="B43" s="122"/>
      <c r="C43" s="122"/>
      <c r="D43" s="122"/>
      <c r="E43" s="122"/>
      <c r="F43" s="122"/>
      <c r="G43" s="122"/>
      <c r="H43" s="122"/>
      <c r="I43" s="122"/>
      <c r="J43" s="122"/>
      <c r="K43" s="122"/>
      <c r="L43" s="122"/>
      <c r="M43" s="122"/>
      <c r="N43" s="122"/>
      <c r="O43" s="122"/>
      <c r="P43" s="122"/>
      <c r="Q43" s="122"/>
      <c r="R43" s="122"/>
      <c r="S43" s="122"/>
      <c r="T43" s="122"/>
      <c r="U43" s="122"/>
      <c r="V43" s="122"/>
      <c r="W43" s="68"/>
    </row>
    <row r="44" spans="2:25" x14ac:dyDescent="0.25">
      <c r="B44" s="122"/>
      <c r="C44" s="122"/>
      <c r="D44" s="122"/>
      <c r="E44" s="122"/>
      <c r="F44" s="123"/>
      <c r="G44" s="122"/>
      <c r="H44" s="122"/>
      <c r="I44" s="122"/>
      <c r="J44" s="122"/>
      <c r="K44" s="122"/>
      <c r="L44" s="122"/>
      <c r="M44" s="122"/>
      <c r="N44" s="122"/>
      <c r="O44" s="122"/>
      <c r="P44" s="122"/>
      <c r="Q44" s="122"/>
      <c r="R44" s="122"/>
      <c r="S44" s="122"/>
      <c r="T44" s="122"/>
      <c r="U44" s="122"/>
      <c r="V44" s="122"/>
      <c r="W44" s="68"/>
    </row>
    <row r="45" spans="2:25" ht="15.75" x14ac:dyDescent="0.25">
      <c r="B45" s="122"/>
      <c r="C45" s="130"/>
      <c r="D45" s="130"/>
      <c r="E45" s="130"/>
      <c r="F45" s="130"/>
      <c r="G45" s="130"/>
      <c r="H45" s="122"/>
      <c r="I45" s="126"/>
      <c r="J45" s="126"/>
      <c r="K45" s="126"/>
      <c r="L45" s="126"/>
      <c r="M45" s="126"/>
      <c r="N45" s="126"/>
      <c r="O45" s="126"/>
      <c r="P45" s="126"/>
      <c r="Q45" s="126"/>
      <c r="R45" s="126"/>
      <c r="S45" s="126"/>
      <c r="T45" s="126"/>
      <c r="U45" s="126"/>
      <c r="V45" s="126"/>
      <c r="W45" s="68"/>
    </row>
    <row r="46" spans="2:25" ht="15.75" x14ac:dyDescent="0.25">
      <c r="B46" s="122"/>
      <c r="C46" s="122"/>
      <c r="D46" s="123"/>
      <c r="E46" s="123"/>
      <c r="F46" s="129"/>
      <c r="G46" s="129"/>
      <c r="H46" s="122"/>
      <c r="I46" s="122"/>
      <c r="J46" s="122"/>
      <c r="K46" s="122"/>
      <c r="L46" s="122"/>
      <c r="M46" s="122"/>
      <c r="N46" s="122"/>
      <c r="O46" s="127"/>
      <c r="P46" s="122"/>
      <c r="Q46" s="122"/>
      <c r="R46" s="122"/>
      <c r="S46" s="122"/>
      <c r="T46" s="122"/>
      <c r="U46" s="122"/>
      <c r="V46" s="122"/>
      <c r="W46" s="68"/>
    </row>
    <row r="47" spans="2:25" ht="15.75" x14ac:dyDescent="0.25">
      <c r="B47" s="122"/>
      <c r="C47" s="122"/>
      <c r="D47" s="123"/>
      <c r="E47" s="123"/>
      <c r="F47" s="129"/>
      <c r="G47" s="129"/>
      <c r="H47" s="122"/>
      <c r="I47" s="122"/>
      <c r="J47" s="122"/>
      <c r="K47" s="122"/>
      <c r="L47" s="122"/>
      <c r="M47" s="122"/>
      <c r="N47" s="122"/>
      <c r="O47" s="127"/>
      <c r="P47" s="122"/>
      <c r="Q47" s="122"/>
      <c r="R47" s="122"/>
      <c r="S47" s="122"/>
      <c r="T47" s="122"/>
      <c r="U47" s="122"/>
      <c r="V47" s="122"/>
      <c r="W47" s="68"/>
    </row>
    <row r="48" spans="2:25" ht="15.75" x14ac:dyDescent="0.25">
      <c r="B48" s="122"/>
      <c r="C48" s="122"/>
      <c r="D48" s="123"/>
      <c r="E48" s="123"/>
      <c r="F48" s="129"/>
      <c r="G48" s="129"/>
      <c r="H48" s="122"/>
      <c r="I48" s="122"/>
      <c r="J48" s="122"/>
      <c r="K48" s="122"/>
      <c r="L48" s="122"/>
      <c r="M48" s="122"/>
      <c r="N48" s="122"/>
      <c r="O48" s="127"/>
      <c r="P48" s="122"/>
      <c r="Q48" s="122"/>
      <c r="R48" s="122"/>
      <c r="S48" s="122"/>
      <c r="T48" s="122"/>
      <c r="U48" s="122"/>
      <c r="V48" s="122"/>
      <c r="W48" s="68"/>
    </row>
    <row r="49" spans="2:23" ht="15.75" x14ac:dyDescent="0.25">
      <c r="B49" s="122"/>
      <c r="C49" s="122"/>
      <c r="D49" s="123"/>
      <c r="E49" s="123"/>
      <c r="F49" s="129"/>
      <c r="G49" s="129"/>
      <c r="H49" s="122"/>
      <c r="I49" s="122"/>
      <c r="J49" s="122"/>
      <c r="K49" s="122"/>
      <c r="L49" s="122"/>
      <c r="M49" s="122"/>
      <c r="N49" s="122"/>
      <c r="O49" s="127"/>
      <c r="P49" s="122"/>
      <c r="Q49" s="122"/>
      <c r="R49" s="122"/>
      <c r="S49" s="122"/>
      <c r="T49" s="122"/>
      <c r="U49" s="122"/>
      <c r="V49" s="122"/>
      <c r="W49" s="68"/>
    </row>
    <row r="50" spans="2:23" ht="15.75" x14ac:dyDescent="0.25">
      <c r="B50" s="122"/>
      <c r="C50" s="122"/>
      <c r="D50" s="123"/>
      <c r="E50" s="123"/>
      <c r="F50" s="129"/>
      <c r="G50" s="129"/>
      <c r="H50" s="122"/>
      <c r="I50" s="122"/>
      <c r="J50" s="122"/>
      <c r="K50" s="122"/>
      <c r="L50" s="122"/>
      <c r="M50" s="122"/>
      <c r="N50" s="122"/>
      <c r="O50" s="127"/>
      <c r="P50" s="122"/>
      <c r="Q50" s="122"/>
      <c r="R50" s="122"/>
      <c r="S50" s="122"/>
      <c r="T50" s="122"/>
      <c r="U50" s="122"/>
      <c r="V50" s="122"/>
      <c r="W50" s="68"/>
    </row>
    <row r="51" spans="2:23" ht="15.75" x14ac:dyDescent="0.25">
      <c r="B51" s="122"/>
      <c r="C51" s="122"/>
      <c r="D51" s="123"/>
      <c r="E51" s="123"/>
      <c r="F51" s="129"/>
      <c r="G51" s="129"/>
      <c r="H51" s="122"/>
      <c r="I51" s="122"/>
      <c r="J51" s="122"/>
      <c r="K51" s="122"/>
      <c r="L51" s="122"/>
      <c r="M51" s="122"/>
      <c r="N51" s="122"/>
      <c r="O51" s="127"/>
      <c r="P51" s="122"/>
      <c r="Q51" s="122"/>
      <c r="R51" s="122"/>
      <c r="S51" s="122"/>
      <c r="T51" s="122"/>
      <c r="U51" s="122"/>
      <c r="V51" s="122"/>
      <c r="W51" s="68"/>
    </row>
    <row r="52" spans="2:23" ht="15.75" x14ac:dyDescent="0.25">
      <c r="B52" s="122"/>
      <c r="C52" s="122"/>
      <c r="D52" s="123"/>
      <c r="E52" s="123"/>
      <c r="F52" s="129"/>
      <c r="G52" s="129"/>
      <c r="H52" s="122"/>
      <c r="I52" s="122"/>
      <c r="J52" s="122"/>
      <c r="K52" s="122"/>
      <c r="L52" s="122"/>
      <c r="M52" s="122"/>
      <c r="N52" s="122"/>
      <c r="O52" s="127"/>
      <c r="P52" s="122"/>
      <c r="Q52" s="122"/>
      <c r="R52" s="122"/>
      <c r="S52" s="122"/>
      <c r="T52" s="122"/>
      <c r="U52" s="122"/>
      <c r="V52" s="122"/>
      <c r="W52" s="68"/>
    </row>
    <row r="53" spans="2:23" ht="15.75" x14ac:dyDescent="0.25">
      <c r="B53" s="122"/>
      <c r="C53" s="122"/>
      <c r="D53" s="123"/>
      <c r="E53" s="123"/>
      <c r="F53" s="129"/>
      <c r="G53" s="129"/>
      <c r="H53" s="122"/>
      <c r="I53" s="122"/>
      <c r="J53" s="122"/>
      <c r="K53" s="122"/>
      <c r="L53" s="122"/>
      <c r="M53" s="122"/>
      <c r="N53" s="122"/>
      <c r="O53" s="127"/>
      <c r="P53" s="122"/>
      <c r="Q53" s="122"/>
      <c r="R53" s="122"/>
      <c r="S53" s="122"/>
      <c r="T53" s="122"/>
      <c r="U53" s="122"/>
      <c r="V53" s="122"/>
      <c r="W53" s="68"/>
    </row>
    <row r="54" spans="2:23" ht="15.75" x14ac:dyDescent="0.25">
      <c r="B54" s="122"/>
      <c r="C54" s="122"/>
      <c r="D54" s="123"/>
      <c r="E54" s="123"/>
      <c r="F54" s="129"/>
      <c r="G54" s="129"/>
      <c r="H54" s="122"/>
      <c r="I54" s="122"/>
      <c r="J54" s="122"/>
      <c r="K54" s="122"/>
      <c r="L54" s="122"/>
      <c r="M54" s="122"/>
      <c r="N54" s="122"/>
      <c r="O54" s="127"/>
      <c r="P54" s="122"/>
      <c r="Q54" s="122"/>
      <c r="R54" s="122"/>
      <c r="S54" s="122"/>
      <c r="T54" s="122"/>
      <c r="U54" s="122"/>
      <c r="V54" s="122"/>
      <c r="W54" s="68"/>
    </row>
    <row r="55" spans="2:23" ht="15.75" x14ac:dyDescent="0.25">
      <c r="B55" s="122"/>
      <c r="C55" s="122"/>
      <c r="D55" s="123"/>
      <c r="E55" s="123"/>
      <c r="F55" s="129"/>
      <c r="G55" s="129"/>
      <c r="H55" s="122"/>
      <c r="I55" s="122"/>
      <c r="J55" s="122"/>
      <c r="K55" s="122"/>
      <c r="L55" s="122"/>
      <c r="M55" s="122"/>
      <c r="N55" s="122"/>
      <c r="O55" s="127"/>
      <c r="P55" s="122"/>
      <c r="Q55" s="122"/>
      <c r="R55" s="122"/>
      <c r="S55" s="122"/>
      <c r="T55" s="122"/>
      <c r="U55" s="122"/>
      <c r="V55" s="122"/>
      <c r="W55" s="68"/>
    </row>
    <row r="56" spans="2:23" ht="15.75" x14ac:dyDescent="0.25">
      <c r="B56" s="122"/>
      <c r="C56" s="122"/>
      <c r="D56" s="123"/>
      <c r="E56" s="123"/>
      <c r="F56" s="129"/>
      <c r="G56" s="129"/>
      <c r="H56" s="122"/>
      <c r="I56" s="122"/>
      <c r="J56" s="122"/>
      <c r="K56" s="122"/>
      <c r="L56" s="122"/>
      <c r="M56" s="122"/>
      <c r="N56" s="122"/>
      <c r="O56" s="127"/>
      <c r="P56" s="122"/>
      <c r="Q56" s="122"/>
      <c r="R56" s="122"/>
      <c r="S56" s="122"/>
      <c r="T56" s="122"/>
      <c r="U56" s="122"/>
      <c r="V56" s="122"/>
      <c r="W56" s="68"/>
    </row>
    <row r="57" spans="2:23" ht="15.75" x14ac:dyDescent="0.25">
      <c r="B57" s="122"/>
      <c r="C57" s="122"/>
      <c r="D57" s="123"/>
      <c r="E57" s="123"/>
      <c r="F57" s="129"/>
      <c r="G57" s="129"/>
      <c r="H57" s="122"/>
      <c r="I57" s="122"/>
      <c r="J57" s="122"/>
      <c r="K57" s="122"/>
      <c r="L57" s="122"/>
      <c r="M57" s="122"/>
      <c r="N57" s="122"/>
      <c r="O57" s="127"/>
      <c r="P57" s="122"/>
      <c r="Q57" s="122"/>
      <c r="R57" s="122"/>
      <c r="S57" s="122"/>
      <c r="T57" s="122"/>
      <c r="U57" s="122"/>
      <c r="V57" s="122"/>
      <c r="W57" s="68"/>
    </row>
    <row r="58" spans="2:23" ht="15.75" x14ac:dyDescent="0.25">
      <c r="B58" s="122"/>
      <c r="C58" s="122"/>
      <c r="D58" s="123"/>
      <c r="E58" s="123"/>
      <c r="F58" s="129"/>
      <c r="G58" s="129"/>
      <c r="H58" s="122"/>
      <c r="I58" s="122"/>
      <c r="J58" s="122"/>
      <c r="K58" s="122"/>
      <c r="L58" s="122"/>
      <c r="M58" s="122"/>
      <c r="N58" s="122"/>
      <c r="O58" s="127"/>
      <c r="P58" s="122"/>
      <c r="Q58" s="122"/>
      <c r="R58" s="122"/>
      <c r="S58" s="122"/>
      <c r="T58" s="122"/>
      <c r="U58" s="122"/>
      <c r="V58" s="122"/>
      <c r="W58" s="68"/>
    </row>
    <row r="59" spans="2:23" x14ac:dyDescent="0.25">
      <c r="B59" s="122"/>
      <c r="C59" s="122"/>
      <c r="D59" s="123"/>
      <c r="E59" s="123"/>
      <c r="F59" s="129"/>
      <c r="G59" s="129"/>
      <c r="H59" s="122"/>
      <c r="I59" s="122"/>
      <c r="J59" s="122"/>
      <c r="K59" s="122"/>
      <c r="L59" s="122"/>
      <c r="M59" s="122"/>
      <c r="N59" s="122"/>
      <c r="O59" s="122"/>
      <c r="P59" s="122"/>
      <c r="Q59" s="122"/>
      <c r="R59" s="122"/>
      <c r="S59" s="122"/>
      <c r="T59" s="122"/>
      <c r="U59" s="122"/>
      <c r="V59" s="122"/>
      <c r="W59" s="68"/>
    </row>
    <row r="60" spans="2:23" x14ac:dyDescent="0.25">
      <c r="B60" s="122"/>
      <c r="C60" s="122"/>
      <c r="D60" s="123"/>
      <c r="E60" s="123"/>
      <c r="F60" s="129"/>
      <c r="G60" s="129"/>
      <c r="H60" s="122"/>
      <c r="I60" s="122"/>
      <c r="J60" s="122"/>
      <c r="K60" s="122"/>
      <c r="L60" s="122"/>
      <c r="M60" s="122"/>
      <c r="N60" s="122"/>
      <c r="O60" s="122"/>
      <c r="P60" s="122"/>
      <c r="Q60" s="122"/>
      <c r="R60" s="122"/>
      <c r="S60" s="122"/>
      <c r="T60" s="122"/>
      <c r="U60" s="122"/>
      <c r="V60" s="122"/>
      <c r="W60" s="68"/>
    </row>
    <row r="61" spans="2:23" x14ac:dyDescent="0.25">
      <c r="B61" s="68"/>
      <c r="C61" s="68"/>
      <c r="D61" s="68"/>
      <c r="E61" s="68"/>
      <c r="F61" s="68"/>
      <c r="G61" s="68"/>
      <c r="H61" s="68"/>
      <c r="I61" s="68"/>
      <c r="J61" s="68"/>
      <c r="K61" s="68"/>
      <c r="L61" s="68"/>
      <c r="M61" s="68"/>
      <c r="N61" s="68"/>
      <c r="O61" s="68"/>
      <c r="P61" s="68"/>
      <c r="Q61" s="68"/>
      <c r="R61" s="68"/>
      <c r="S61" s="68"/>
      <c r="T61" s="68"/>
      <c r="U61" s="68"/>
      <c r="V61" s="68"/>
      <c r="W61" s="68"/>
    </row>
    <row r="62" spans="2:23" x14ac:dyDescent="0.25">
      <c r="B62" s="68"/>
      <c r="C62" s="68"/>
      <c r="D62" s="68"/>
      <c r="E62" s="68"/>
      <c r="F62" s="68"/>
      <c r="G62" s="68"/>
      <c r="H62" s="68"/>
      <c r="I62" s="68"/>
      <c r="J62" s="68"/>
      <c r="K62" s="68"/>
      <c r="L62" s="68"/>
      <c r="M62" s="68"/>
      <c r="N62" s="68"/>
      <c r="O62" s="68"/>
      <c r="P62" s="68"/>
      <c r="Q62" s="68"/>
      <c r="R62" s="68"/>
      <c r="S62" s="68"/>
      <c r="T62" s="68"/>
      <c r="U62" s="68"/>
      <c r="V62" s="68"/>
      <c r="W62" s="68"/>
    </row>
    <row r="63" spans="2:23" x14ac:dyDescent="0.25">
      <c r="H63" s="68"/>
      <c r="I63" s="68"/>
      <c r="J63" s="68"/>
      <c r="K63" s="68"/>
      <c r="L63" s="68"/>
      <c r="M63" s="68"/>
      <c r="N63" s="68"/>
      <c r="O63" s="68"/>
      <c r="P63" s="68"/>
      <c r="Q63" s="68"/>
      <c r="R63" s="68"/>
      <c r="S63" s="68"/>
      <c r="T63" s="68"/>
      <c r="U63" s="68"/>
      <c r="V63" s="68"/>
      <c r="W63" s="68"/>
    </row>
    <row r="64" spans="2:23" x14ac:dyDescent="0.25">
      <c r="H64" s="68"/>
      <c r="I64" s="68"/>
      <c r="J64" s="68"/>
      <c r="K64" s="68"/>
      <c r="L64" s="68"/>
      <c r="M64" s="68"/>
      <c r="N64" s="68"/>
      <c r="O64" s="68"/>
      <c r="P64" s="68"/>
      <c r="Q64" s="68"/>
      <c r="R64" s="68"/>
      <c r="S64" s="68"/>
      <c r="T64" s="68"/>
      <c r="U64" s="68"/>
      <c r="V64" s="68"/>
      <c r="W64" s="68"/>
    </row>
    <row r="65" spans="8:23" x14ac:dyDescent="0.25">
      <c r="H65" s="68"/>
      <c r="I65" s="68"/>
      <c r="J65" s="68"/>
      <c r="K65" s="68"/>
      <c r="L65" s="68"/>
      <c r="M65" s="68"/>
      <c r="N65" s="68"/>
      <c r="O65" s="68"/>
      <c r="P65" s="68"/>
      <c r="Q65" s="68"/>
      <c r="R65" s="68"/>
      <c r="S65" s="68"/>
      <c r="T65" s="68"/>
      <c r="U65" s="68"/>
      <c r="V65" s="68"/>
      <c r="W65" s="68"/>
    </row>
    <row r="66" spans="8:23" x14ac:dyDescent="0.25">
      <c r="H66" s="68"/>
      <c r="I66" s="68"/>
      <c r="J66" s="68"/>
      <c r="K66" s="68"/>
      <c r="L66" s="68"/>
      <c r="M66" s="68"/>
      <c r="N66" s="68"/>
      <c r="O66" s="68"/>
      <c r="P66" s="68"/>
      <c r="Q66" s="68"/>
      <c r="R66" s="68"/>
      <c r="S66" s="68"/>
      <c r="T66" s="68"/>
      <c r="U66" s="68"/>
      <c r="V66" s="68"/>
      <c r="W66" s="68"/>
    </row>
    <row r="67" spans="8:23" x14ac:dyDescent="0.25">
      <c r="H67" s="68"/>
      <c r="I67" s="68"/>
      <c r="J67" s="68"/>
      <c r="K67" s="68"/>
      <c r="L67" s="68"/>
      <c r="M67" s="68"/>
      <c r="N67" s="68"/>
      <c r="O67" s="68"/>
      <c r="P67" s="68"/>
      <c r="Q67" s="68"/>
      <c r="R67" s="68"/>
      <c r="S67" s="68"/>
      <c r="T67" s="68"/>
      <c r="U67" s="68"/>
      <c r="V67" s="68"/>
      <c r="W67" s="68"/>
    </row>
    <row r="68" spans="8:23" x14ac:dyDescent="0.25">
      <c r="H68" s="68"/>
      <c r="I68" s="68"/>
      <c r="J68" s="68"/>
      <c r="K68" s="68"/>
      <c r="L68" s="68"/>
      <c r="M68" s="68"/>
      <c r="N68" s="68"/>
      <c r="O68" s="68"/>
      <c r="P68" s="68"/>
      <c r="Q68" s="68"/>
      <c r="R68" s="68"/>
      <c r="S68" s="68"/>
      <c r="T68" s="68"/>
      <c r="U68" s="68"/>
      <c r="V68" s="68"/>
      <c r="W68" s="68"/>
    </row>
    <row r="69" spans="8:23" x14ac:dyDescent="0.25">
      <c r="H69" s="68"/>
      <c r="I69" s="68"/>
      <c r="J69" s="68"/>
      <c r="K69" s="68"/>
      <c r="L69" s="68"/>
      <c r="M69" s="68"/>
      <c r="N69" s="68"/>
      <c r="O69" s="68"/>
      <c r="P69" s="68"/>
      <c r="Q69" s="68"/>
      <c r="R69" s="68"/>
      <c r="S69" s="68"/>
      <c r="T69" s="68"/>
      <c r="U69" s="68"/>
      <c r="V69" s="68"/>
      <c r="W69" s="68"/>
    </row>
    <row r="70" spans="8:23" x14ac:dyDescent="0.25">
      <c r="H70" s="68"/>
      <c r="I70" s="68"/>
      <c r="J70" s="68"/>
      <c r="K70" s="68"/>
      <c r="L70" s="68"/>
      <c r="M70" s="68"/>
      <c r="N70" s="68"/>
      <c r="O70" s="68"/>
      <c r="P70" s="68"/>
      <c r="Q70" s="68"/>
      <c r="R70" s="68"/>
      <c r="S70" s="68"/>
      <c r="T70" s="68"/>
      <c r="U70" s="68"/>
      <c r="V70" s="68"/>
      <c r="W70" s="68"/>
    </row>
    <row r="71" spans="8:23" x14ac:dyDescent="0.25">
      <c r="H71" s="68"/>
      <c r="I71" s="68"/>
      <c r="J71" s="68"/>
      <c r="K71" s="68"/>
      <c r="L71" s="68"/>
      <c r="M71" s="68"/>
      <c r="N71" s="68"/>
      <c r="O71" s="68"/>
      <c r="P71" s="68"/>
      <c r="Q71" s="68"/>
      <c r="R71" s="68"/>
      <c r="S71" s="68"/>
      <c r="T71" s="68"/>
      <c r="U71" s="68"/>
      <c r="V71" s="68"/>
      <c r="W71" s="68"/>
    </row>
  </sheetData>
  <mergeCells count="1">
    <mergeCell ref="I7:W7"/>
  </mergeCells>
  <phoneticPr fontId="57" type="noConversion"/>
  <pageMargins left="0.7" right="0.7" top="0.75" bottom="0.75" header="0.3" footer="0.3"/>
  <pageSetup scale="41" orientation="landscape" r:id="rId1"/>
  <headerFooter>
    <oddHeader>&amp;C&amp;A&amp;R&amp;A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B2:AB71"/>
  <sheetViews>
    <sheetView zoomScale="60" zoomScaleNormal="60" workbookViewId="0">
      <selection activeCell="I2" sqref="I2"/>
    </sheetView>
  </sheetViews>
  <sheetFormatPr defaultRowHeight="15" x14ac:dyDescent="0.25"/>
  <cols>
    <col min="2" max="2" width="12.140625" bestFit="1" customWidth="1"/>
    <col min="3" max="3" width="11.5703125" customWidth="1"/>
    <col min="4" max="4" width="14" customWidth="1"/>
    <col min="5" max="5" width="13.85546875" customWidth="1"/>
    <col min="6" max="6" width="11.5703125" customWidth="1"/>
    <col min="7" max="7" width="13.140625" bestFit="1" customWidth="1"/>
    <col min="8" max="8" width="17" customWidth="1"/>
    <col min="9" max="9" width="9.28515625" customWidth="1"/>
    <col min="10" max="10" width="8.85546875" customWidth="1"/>
    <col min="11" max="11" width="9.7109375" bestFit="1" customWidth="1"/>
    <col min="12" max="15" width="10.140625" customWidth="1"/>
    <col min="16" max="16" width="11.140625" customWidth="1"/>
    <col min="17" max="17" width="12" customWidth="1"/>
    <col min="18" max="18" width="10.7109375" customWidth="1"/>
    <col min="19" max="19" width="12.28515625" customWidth="1"/>
    <col min="20" max="22" width="10.140625" customWidth="1"/>
    <col min="24" max="24" width="9.7109375" bestFit="1" customWidth="1"/>
  </cols>
  <sheetData>
    <row r="2" spans="2:28" x14ac:dyDescent="0.25">
      <c r="B2" t="s">
        <v>134</v>
      </c>
      <c r="D2" t="s">
        <v>102</v>
      </c>
      <c r="E2" s="375"/>
      <c r="F2" s="52" t="s">
        <v>37</v>
      </c>
      <c r="G2" s="375"/>
      <c r="I2" s="53" t="s">
        <v>417</v>
      </c>
      <c r="L2" s="53"/>
      <c r="M2" s="53"/>
    </row>
    <row r="3" spans="2:28" ht="15.75" thickBot="1" x14ac:dyDescent="0.3">
      <c r="X3" s="54"/>
      <c r="Y3" s="54"/>
    </row>
    <row r="4" spans="2:28" ht="15.75" thickBot="1" x14ac:dyDescent="0.3">
      <c r="B4" s="55"/>
      <c r="C4" s="56"/>
      <c r="D4" s="56"/>
      <c r="E4" s="56"/>
      <c r="F4" s="57" t="s">
        <v>103</v>
      </c>
      <c r="G4" s="373"/>
      <c r="H4" s="56"/>
      <c r="I4" s="56"/>
      <c r="J4" s="56"/>
      <c r="K4" s="56"/>
      <c r="L4" s="56"/>
      <c r="M4" s="56"/>
      <c r="N4" s="56"/>
      <c r="O4" s="56"/>
      <c r="P4" s="56"/>
      <c r="Q4" s="56"/>
      <c r="R4" s="56"/>
      <c r="S4" s="56"/>
      <c r="T4" s="56"/>
      <c r="U4" s="56"/>
      <c r="V4" s="56"/>
      <c r="W4" s="58"/>
      <c r="X4" s="55"/>
      <c r="Y4" s="58"/>
    </row>
    <row r="5" spans="2:28" ht="110.25" customHeight="1" thickBot="1" x14ac:dyDescent="0.3">
      <c r="B5" s="55"/>
      <c r="C5" s="59" t="s">
        <v>104</v>
      </c>
      <c r="D5" s="59" t="s">
        <v>105</v>
      </c>
      <c r="E5" s="59" t="s">
        <v>106</v>
      </c>
      <c r="F5" s="59" t="s">
        <v>107</v>
      </c>
      <c r="G5" s="60" t="s">
        <v>108</v>
      </c>
      <c r="H5" s="61"/>
      <c r="I5" s="62" t="s">
        <v>109</v>
      </c>
      <c r="J5" s="63" t="s">
        <v>110</v>
      </c>
      <c r="K5" s="63" t="s">
        <v>111</v>
      </c>
      <c r="L5" s="63" t="s">
        <v>112</v>
      </c>
      <c r="M5" s="63" t="s">
        <v>113</v>
      </c>
      <c r="N5" s="63" t="s">
        <v>114</v>
      </c>
      <c r="O5" s="63" t="s">
        <v>115</v>
      </c>
      <c r="P5" s="63" t="s">
        <v>116</v>
      </c>
      <c r="Q5" s="63" t="s">
        <v>117</v>
      </c>
      <c r="R5" s="63" t="s">
        <v>118</v>
      </c>
      <c r="S5" s="63" t="s">
        <v>119</v>
      </c>
      <c r="T5" s="63" t="s">
        <v>120</v>
      </c>
      <c r="U5" s="63" t="s">
        <v>121</v>
      </c>
      <c r="V5" s="64" t="s">
        <v>122</v>
      </c>
      <c r="W5" s="65" t="s">
        <v>123</v>
      </c>
      <c r="X5" s="66" t="s">
        <v>124</v>
      </c>
      <c r="Y5" s="67" t="s">
        <v>125</v>
      </c>
      <c r="Z5" s="68"/>
      <c r="AA5" s="68"/>
      <c r="AB5" s="68"/>
    </row>
    <row r="6" spans="2:28" ht="20.25" customHeight="1" thickBot="1" x14ac:dyDescent="0.3">
      <c r="B6" s="55"/>
      <c r="C6" s="69"/>
      <c r="D6" s="70">
        <f>SUM(D8:D22)</f>
        <v>0</v>
      </c>
      <c r="E6" s="70">
        <f>SUM(E8:E22)</f>
        <v>0</v>
      </c>
      <c r="F6" s="69"/>
      <c r="G6" s="71"/>
      <c r="H6" s="72" t="s">
        <v>126</v>
      </c>
      <c r="I6" s="73">
        <f>'PL weights'!I6</f>
        <v>48.620999999999995</v>
      </c>
      <c r="J6" s="73">
        <f>'PL weights'!J6</f>
        <v>48.620999999999995</v>
      </c>
      <c r="K6" s="73">
        <f>'PL weights'!K6</f>
        <v>54.163724999999992</v>
      </c>
      <c r="L6" s="73">
        <f>'PL weights'!L6</f>
        <v>59.576999999999998</v>
      </c>
      <c r="M6" s="73">
        <f>'PL weights'!M6</f>
        <v>57.789000000000001</v>
      </c>
      <c r="N6" s="73">
        <f>'PL weights'!N6</f>
        <v>45.515999999999998</v>
      </c>
      <c r="O6" s="73">
        <f>'PL weights'!O6</f>
        <v>49.569000000000003</v>
      </c>
      <c r="P6" s="73">
        <f>'PL weights'!P6</f>
        <v>44.298000000000002</v>
      </c>
      <c r="Q6" s="73">
        <f>'PL weights'!Q6</f>
        <v>58.824150000000003</v>
      </c>
      <c r="R6" s="73">
        <f>'PL weights'!R6</f>
        <v>64.648237499999993</v>
      </c>
      <c r="S6" s="73">
        <f>'PL weights'!S6</f>
        <v>50.504999999999995</v>
      </c>
      <c r="T6" s="73">
        <f>'PL weights'!T6</f>
        <v>61.116</v>
      </c>
      <c r="U6" s="73">
        <f>'PL weights'!U6</f>
        <v>44.870999999999995</v>
      </c>
      <c r="V6" s="73">
        <f>'PL weights'!V6</f>
        <v>50</v>
      </c>
      <c r="W6" s="74">
        <f>'PL weights'!W6</f>
        <v>37.152000000000001</v>
      </c>
      <c r="X6" s="75"/>
      <c r="Y6" s="58"/>
      <c r="Z6" s="68"/>
      <c r="AA6" s="68"/>
      <c r="AB6" s="68"/>
    </row>
    <row r="7" spans="2:28" ht="20.25" customHeight="1" thickBot="1" x14ac:dyDescent="0.3">
      <c r="B7" s="76"/>
      <c r="C7" s="77"/>
      <c r="D7" s="78"/>
      <c r="E7" s="78"/>
      <c r="F7" s="77"/>
      <c r="G7" s="79"/>
      <c r="H7" s="72" t="s">
        <v>127</v>
      </c>
      <c r="I7" s="446" t="s">
        <v>128</v>
      </c>
      <c r="J7" s="447"/>
      <c r="K7" s="447"/>
      <c r="L7" s="447"/>
      <c r="M7" s="447"/>
      <c r="N7" s="447"/>
      <c r="O7" s="447"/>
      <c r="P7" s="447"/>
      <c r="Q7" s="447"/>
      <c r="R7" s="447"/>
      <c r="S7" s="447"/>
      <c r="T7" s="447"/>
      <c r="U7" s="447"/>
      <c r="V7" s="447"/>
      <c r="W7" s="448"/>
      <c r="X7" s="80"/>
      <c r="Y7" s="81"/>
      <c r="Z7" s="68"/>
      <c r="AA7" s="68"/>
      <c r="AB7" s="68"/>
    </row>
    <row r="8" spans="2:28" x14ac:dyDescent="0.25">
      <c r="B8" s="76"/>
      <c r="C8" s="77">
        <v>2</v>
      </c>
      <c r="D8" s="82">
        <f t="shared" ref="D8:E22" si="0">$G$4*F8</f>
        <v>0</v>
      </c>
      <c r="E8" s="82">
        <f t="shared" si="0"/>
        <v>0</v>
      </c>
      <c r="F8" s="83">
        <f>'PL weights'!F8</f>
        <v>5.3894256354010767E-2</v>
      </c>
      <c r="G8" s="84">
        <f>'PL weights'!G8</f>
        <v>0</v>
      </c>
      <c r="H8" s="85">
        <f>$G$4*F8</f>
        <v>0</v>
      </c>
      <c r="I8" s="86">
        <f>'PL weights'!I8</f>
        <v>0</v>
      </c>
      <c r="J8" s="86">
        <f>'PL weights'!J8</f>
        <v>0</v>
      </c>
      <c r="K8" s="86">
        <f>'PL weights'!K8</f>
        <v>0</v>
      </c>
      <c r="L8" s="86">
        <f>'PL weights'!L8</f>
        <v>0.4</v>
      </c>
      <c r="M8" s="86">
        <f>'PL weights'!M8</f>
        <v>0</v>
      </c>
      <c r="N8" s="86">
        <f>'PL weights'!N8</f>
        <v>0.4</v>
      </c>
      <c r="O8" s="86">
        <f>'PL weights'!O8</f>
        <v>0</v>
      </c>
      <c r="P8" s="86">
        <f>'PL weights'!P8</f>
        <v>0</v>
      </c>
      <c r="Q8" s="86">
        <f>'PL weights'!Q8</f>
        <v>0</v>
      </c>
      <c r="R8" s="86">
        <f>'PL weights'!R8</f>
        <v>0</v>
      </c>
      <c r="S8" s="86">
        <f>'PL weights'!S8</f>
        <v>0</v>
      </c>
      <c r="T8" s="86">
        <f>'PL weights'!T8</f>
        <v>0.2</v>
      </c>
      <c r="U8" s="86">
        <f>'PL weights'!U8</f>
        <v>0</v>
      </c>
      <c r="V8" s="86">
        <f>'PL weights'!V8</f>
        <v>0</v>
      </c>
      <c r="W8" s="87">
        <f>'PL weights'!W8</f>
        <v>0</v>
      </c>
      <c r="X8" s="88">
        <f>I8*$I$6+J8*$J$6+K8*$K$6+L8*$L$6+M8*$M$6+N8*$N$6+O8*$O$6+P8*$P$6+Q8*$Q$6+R8*$R$6+S8*$S$6+T8*$T$6+U8*$U$6+V8*$V$6+W8*$W$6</f>
        <v>54.260399999999997</v>
      </c>
      <c r="Y8" s="89">
        <f t="shared" ref="Y8:Y22" si="1">H8/X8</f>
        <v>0</v>
      </c>
      <c r="Z8" s="68"/>
      <c r="AA8" s="90"/>
      <c r="AB8" s="68"/>
    </row>
    <row r="9" spans="2:28" x14ac:dyDescent="0.25">
      <c r="B9" s="91"/>
      <c r="C9" s="92">
        <v>3</v>
      </c>
      <c r="D9" s="93">
        <f t="shared" si="0"/>
        <v>0</v>
      </c>
      <c r="E9" s="93">
        <f t="shared" si="0"/>
        <v>0</v>
      </c>
      <c r="F9" s="94">
        <f>'PL weights'!F9</f>
        <v>8.9690902617566182E-2</v>
      </c>
      <c r="G9" s="95">
        <f>'PL weights'!G9</f>
        <v>0</v>
      </c>
      <c r="H9" s="85">
        <f t="shared" ref="H9:H22" si="2">$G$4*F9</f>
        <v>0</v>
      </c>
      <c r="I9" s="86">
        <f>'PL weights'!I9</f>
        <v>0.28499999999999998</v>
      </c>
      <c r="J9" s="86">
        <f>'PL weights'!J9</f>
        <v>0</v>
      </c>
      <c r="K9" s="86">
        <f>'PL weights'!K9</f>
        <v>0</v>
      </c>
      <c r="L9" s="86">
        <f>'PL weights'!L9</f>
        <v>0.14199999999999999</v>
      </c>
      <c r="M9" s="86">
        <f>'PL weights'!M9</f>
        <v>0.14199999999999999</v>
      </c>
      <c r="N9" s="86">
        <f>'PL weights'!N9</f>
        <v>0.28499999999999998</v>
      </c>
      <c r="O9" s="86">
        <f>'PL weights'!O9</f>
        <v>0.14199999999999999</v>
      </c>
      <c r="P9" s="86">
        <f>'PL weights'!P9</f>
        <v>0</v>
      </c>
      <c r="Q9" s="86">
        <f>'PL weights'!Q9</f>
        <v>0</v>
      </c>
      <c r="R9" s="86">
        <f>'PL weights'!R9</f>
        <v>0</v>
      </c>
      <c r="S9" s="86">
        <f>'PL weights'!S9</f>
        <v>0</v>
      </c>
      <c r="T9" s="86">
        <f>'PL weights'!T9</f>
        <v>0</v>
      </c>
      <c r="U9" s="86">
        <f>'PL weights'!U9</f>
        <v>0</v>
      </c>
      <c r="V9" s="86">
        <f>'PL weights'!V9</f>
        <v>0</v>
      </c>
      <c r="W9" s="87">
        <f>'PL weights'!W9</f>
        <v>0</v>
      </c>
      <c r="X9" s="88">
        <f t="shared" ref="X9:X22" si="3">I9*$I$6+J9*$J$6+K9*$K$6+L9*$L$6+M9*$M$6+N9*$N$6+O9*$O$6+P9*$P$6+Q9*$Q$6+R9*$R$6+S9*$S$6+T9*$T$6+U9*$U$6+V9*$V$6+W9*$W$6</f>
        <v>50.533814999999997</v>
      </c>
      <c r="Y9" s="89">
        <f t="shared" si="1"/>
        <v>0</v>
      </c>
      <c r="Z9" s="68"/>
      <c r="AA9" s="90"/>
      <c r="AB9" s="68"/>
    </row>
    <row r="10" spans="2:28" x14ac:dyDescent="0.25">
      <c r="B10" s="91"/>
      <c r="C10" s="92">
        <v>4</v>
      </c>
      <c r="D10" s="93">
        <f t="shared" si="0"/>
        <v>0</v>
      </c>
      <c r="E10" s="93">
        <f t="shared" si="0"/>
        <v>0</v>
      </c>
      <c r="F10" s="94">
        <f>'PL weights'!F10</f>
        <v>1.3835104719594987E-2</v>
      </c>
      <c r="G10" s="95">
        <f>'PL weights'!G10</f>
        <v>0</v>
      </c>
      <c r="H10" s="85">
        <f t="shared" si="2"/>
        <v>0</v>
      </c>
      <c r="I10" s="86">
        <f>'PL weights'!I10</f>
        <v>0</v>
      </c>
      <c r="J10" s="86">
        <f>'PL weights'!J10</f>
        <v>0</v>
      </c>
      <c r="K10" s="86">
        <f>'PL weights'!K10</f>
        <v>0</v>
      </c>
      <c r="L10" s="86">
        <f>'PL weights'!L10</f>
        <v>0</v>
      </c>
      <c r="M10" s="86">
        <f>'PL weights'!M10</f>
        <v>0</v>
      </c>
      <c r="N10" s="86">
        <f>'PL weights'!N10</f>
        <v>0.4</v>
      </c>
      <c r="O10" s="86">
        <f>'PL weights'!O10</f>
        <v>0.6</v>
      </c>
      <c r="P10" s="86">
        <f>'PL weights'!P10</f>
        <v>0</v>
      </c>
      <c r="Q10" s="86">
        <f>'PL weights'!Q10</f>
        <v>0</v>
      </c>
      <c r="R10" s="86">
        <f>'PL weights'!R10</f>
        <v>0</v>
      </c>
      <c r="S10" s="86">
        <f>'PL weights'!S10</f>
        <v>0</v>
      </c>
      <c r="T10" s="86">
        <f>'PL weights'!T10</f>
        <v>0</v>
      </c>
      <c r="U10" s="86">
        <f>'PL weights'!U10</f>
        <v>0</v>
      </c>
      <c r="V10" s="86">
        <f>'PL weights'!V10</f>
        <v>0</v>
      </c>
      <c r="W10" s="87">
        <f>'PL weights'!W10</f>
        <v>0</v>
      </c>
      <c r="X10" s="88">
        <f t="shared" si="3"/>
        <v>47.947800000000001</v>
      </c>
      <c r="Y10" s="89">
        <f t="shared" si="1"/>
        <v>0</v>
      </c>
      <c r="Z10" s="68"/>
      <c r="AA10" s="90"/>
      <c r="AB10" s="68"/>
    </row>
    <row r="11" spans="2:28" x14ac:dyDescent="0.25">
      <c r="B11" s="91"/>
      <c r="C11" s="92">
        <v>5</v>
      </c>
      <c r="D11" s="93">
        <f t="shared" si="0"/>
        <v>0</v>
      </c>
      <c r="E11" s="93">
        <f t="shared" si="0"/>
        <v>0</v>
      </c>
      <c r="F11" s="94">
        <f>'PL weights'!F11</f>
        <v>3.8101006728851971E-3</v>
      </c>
      <c r="G11" s="95">
        <f>'PL weights'!G11</f>
        <v>0</v>
      </c>
      <c r="H11" s="85">
        <f t="shared" si="2"/>
        <v>0</v>
      </c>
      <c r="I11" s="86">
        <f>'PL weights'!I11</f>
        <v>1</v>
      </c>
      <c r="J11" s="86">
        <f>'PL weights'!J11</f>
        <v>0</v>
      </c>
      <c r="K11" s="86">
        <f>'PL weights'!K11</f>
        <v>0</v>
      </c>
      <c r="L11" s="86">
        <f>'PL weights'!L11</f>
        <v>0</v>
      </c>
      <c r="M11" s="86">
        <f>'PL weights'!M11</f>
        <v>0</v>
      </c>
      <c r="N11" s="86">
        <f>'PL weights'!N11</f>
        <v>0</v>
      </c>
      <c r="O11" s="86">
        <f>'PL weights'!O11</f>
        <v>0</v>
      </c>
      <c r="P11" s="86">
        <f>'PL weights'!P11</f>
        <v>0</v>
      </c>
      <c r="Q11" s="86">
        <f>'PL weights'!Q11</f>
        <v>0</v>
      </c>
      <c r="R11" s="86">
        <f>'PL weights'!R11</f>
        <v>0</v>
      </c>
      <c r="S11" s="86">
        <f>'PL weights'!S11</f>
        <v>0</v>
      </c>
      <c r="T11" s="86">
        <f>'PL weights'!T11</f>
        <v>0</v>
      </c>
      <c r="U11" s="86">
        <f>'PL weights'!U11</f>
        <v>0</v>
      </c>
      <c r="V11" s="86">
        <f>'PL weights'!V11</f>
        <v>0</v>
      </c>
      <c r="W11" s="87">
        <f>'PL weights'!W11</f>
        <v>0</v>
      </c>
      <c r="X11" s="88">
        <f t="shared" si="3"/>
        <v>48.620999999999995</v>
      </c>
      <c r="Y11" s="89">
        <f t="shared" si="1"/>
        <v>0</v>
      </c>
      <c r="Z11" s="68"/>
      <c r="AA11" s="90"/>
      <c r="AB11" s="68"/>
    </row>
    <row r="12" spans="2:28" x14ac:dyDescent="0.25">
      <c r="B12" s="91"/>
      <c r="C12" s="92">
        <v>6</v>
      </c>
      <c r="D12" s="93">
        <f t="shared" si="0"/>
        <v>0</v>
      </c>
      <c r="E12" s="93">
        <f t="shared" si="0"/>
        <v>0</v>
      </c>
      <c r="F12" s="94">
        <f>'PL weights'!F12</f>
        <v>2.5506408852120099E-3</v>
      </c>
      <c r="G12" s="95">
        <f>'PL weights'!G12</f>
        <v>0</v>
      </c>
      <c r="H12" s="85">
        <f t="shared" si="2"/>
        <v>0</v>
      </c>
      <c r="I12" s="86">
        <f>'PL weights'!I12</f>
        <v>1</v>
      </c>
      <c r="J12" s="86">
        <f>'PL weights'!J12</f>
        <v>0</v>
      </c>
      <c r="K12" s="86">
        <f>'PL weights'!K12</f>
        <v>0</v>
      </c>
      <c r="L12" s="86">
        <f>'PL weights'!L12</f>
        <v>0</v>
      </c>
      <c r="M12" s="86">
        <f>'PL weights'!M12</f>
        <v>0</v>
      </c>
      <c r="N12" s="86">
        <f>'PL weights'!N12</f>
        <v>0</v>
      </c>
      <c r="O12" s="86">
        <f>'PL weights'!O12</f>
        <v>0</v>
      </c>
      <c r="P12" s="86">
        <f>'PL weights'!P12</f>
        <v>0</v>
      </c>
      <c r="Q12" s="86">
        <f>'PL weights'!Q12</f>
        <v>0</v>
      </c>
      <c r="R12" s="86">
        <f>'PL weights'!R12</f>
        <v>0</v>
      </c>
      <c r="S12" s="86">
        <f>'PL weights'!S12</f>
        <v>0</v>
      </c>
      <c r="T12" s="86">
        <f>'PL weights'!T12</f>
        <v>0</v>
      </c>
      <c r="U12" s="86">
        <f>'PL weights'!U12</f>
        <v>0</v>
      </c>
      <c r="V12" s="86">
        <f>'PL weights'!V12</f>
        <v>0</v>
      </c>
      <c r="W12" s="87">
        <f>'PL weights'!W12</f>
        <v>0</v>
      </c>
      <c r="X12" s="88">
        <f t="shared" si="3"/>
        <v>48.620999999999995</v>
      </c>
      <c r="Y12" s="89">
        <f t="shared" si="1"/>
        <v>0</v>
      </c>
      <c r="Z12" s="68"/>
      <c r="AA12" s="90"/>
      <c r="AB12" s="68"/>
    </row>
    <row r="13" spans="2:28" x14ac:dyDescent="0.25">
      <c r="B13" s="91"/>
      <c r="C13" s="92">
        <v>7</v>
      </c>
      <c r="D13" s="93">
        <f t="shared" si="0"/>
        <v>0</v>
      </c>
      <c r="E13" s="93">
        <f t="shared" si="0"/>
        <v>0</v>
      </c>
      <c r="F13" s="94">
        <f>'PL weights'!F13</f>
        <v>5.4192090495130902E-3</v>
      </c>
      <c r="G13" s="95">
        <f>'PL weights'!G13</f>
        <v>0</v>
      </c>
      <c r="H13" s="85">
        <f t="shared" si="2"/>
        <v>0</v>
      </c>
      <c r="I13" s="86">
        <f>'PL weights'!I13</f>
        <v>0.5</v>
      </c>
      <c r="J13" s="86">
        <f>'PL weights'!J13</f>
        <v>0</v>
      </c>
      <c r="K13" s="86">
        <f>'PL weights'!K13</f>
        <v>0</v>
      </c>
      <c r="L13" s="86">
        <f>'PL weights'!L13</f>
        <v>0</v>
      </c>
      <c r="M13" s="86">
        <f>'PL weights'!M13</f>
        <v>0</v>
      </c>
      <c r="N13" s="86">
        <f>'PL weights'!N13</f>
        <v>0</v>
      </c>
      <c r="O13" s="86">
        <f>'PL weights'!O13</f>
        <v>0</v>
      </c>
      <c r="P13" s="86">
        <f>'PL weights'!P13</f>
        <v>0</v>
      </c>
      <c r="Q13" s="86">
        <f>'PL weights'!Q13</f>
        <v>0</v>
      </c>
      <c r="R13" s="86">
        <f>'PL weights'!R13</f>
        <v>0</v>
      </c>
      <c r="S13" s="86">
        <f>'PL weights'!S13</f>
        <v>0</v>
      </c>
      <c r="T13" s="86">
        <f>'PL weights'!T13</f>
        <v>0</v>
      </c>
      <c r="U13" s="86">
        <f>'PL weights'!U13</f>
        <v>0</v>
      </c>
      <c r="V13" s="86">
        <f>'PL weights'!V13</f>
        <v>0</v>
      </c>
      <c r="W13" s="87">
        <f>'PL weights'!W13</f>
        <v>0.5</v>
      </c>
      <c r="X13" s="88">
        <f t="shared" si="3"/>
        <v>42.886499999999998</v>
      </c>
      <c r="Y13" s="89">
        <f t="shared" si="1"/>
        <v>0</v>
      </c>
      <c r="Z13" s="68"/>
      <c r="AA13" s="90"/>
      <c r="AB13" s="68"/>
    </row>
    <row r="14" spans="2:28" x14ac:dyDescent="0.25">
      <c r="B14" s="91"/>
      <c r="C14" s="92">
        <v>8</v>
      </c>
      <c r="D14" s="93">
        <f t="shared" si="0"/>
        <v>0</v>
      </c>
      <c r="E14" s="93">
        <f t="shared" si="0"/>
        <v>0</v>
      </c>
      <c r="F14" s="94">
        <f>'PL weights'!F14</f>
        <v>8.4362689802227166E-4</v>
      </c>
      <c r="G14" s="95">
        <f>'PL weights'!G14</f>
        <v>0</v>
      </c>
      <c r="H14" s="85">
        <f t="shared" si="2"/>
        <v>0</v>
      </c>
      <c r="I14" s="86">
        <f>'PL weights'!I14</f>
        <v>1</v>
      </c>
      <c r="J14" s="86">
        <f>'PL weights'!J14</f>
        <v>0</v>
      </c>
      <c r="K14" s="86">
        <f>'PL weights'!K14</f>
        <v>0</v>
      </c>
      <c r="L14" s="86">
        <f>'PL weights'!L14</f>
        <v>0</v>
      </c>
      <c r="M14" s="86">
        <f>'PL weights'!M14</f>
        <v>0</v>
      </c>
      <c r="N14" s="86">
        <f>'PL weights'!N14</f>
        <v>0</v>
      </c>
      <c r="O14" s="86">
        <f>'PL weights'!O14</f>
        <v>0</v>
      </c>
      <c r="P14" s="86">
        <f>'PL weights'!P14</f>
        <v>0</v>
      </c>
      <c r="Q14" s="86">
        <f>'PL weights'!Q14</f>
        <v>0</v>
      </c>
      <c r="R14" s="86">
        <f>'PL weights'!R14</f>
        <v>0</v>
      </c>
      <c r="S14" s="86">
        <f>'PL weights'!S14</f>
        <v>0</v>
      </c>
      <c r="T14" s="86">
        <f>'PL weights'!T14</f>
        <v>0</v>
      </c>
      <c r="U14" s="86">
        <f>'PL weights'!U14</f>
        <v>0</v>
      </c>
      <c r="V14" s="86">
        <f>'PL weights'!V14</f>
        <v>0</v>
      </c>
      <c r="W14" s="87">
        <f>'PL weights'!W14</f>
        <v>0</v>
      </c>
      <c r="X14" s="88">
        <f t="shared" si="3"/>
        <v>48.620999999999995</v>
      </c>
      <c r="Y14" s="89">
        <f t="shared" si="1"/>
        <v>0</v>
      </c>
      <c r="Z14" s="68"/>
      <c r="AA14" s="90"/>
      <c r="AB14" s="68"/>
    </row>
    <row r="15" spans="2:28" x14ac:dyDescent="0.25">
      <c r="B15" s="91"/>
      <c r="C15" s="92">
        <v>9</v>
      </c>
      <c r="D15" s="93">
        <f t="shared" si="0"/>
        <v>0</v>
      </c>
      <c r="E15" s="93">
        <f t="shared" si="0"/>
        <v>0</v>
      </c>
      <c r="F15" s="94">
        <f>'PL weights'!F15</f>
        <v>2.5794791882186056E-3</v>
      </c>
      <c r="G15" s="95">
        <f>'PL weights'!G15</f>
        <v>0</v>
      </c>
      <c r="H15" s="85">
        <f t="shared" si="2"/>
        <v>0</v>
      </c>
      <c r="I15" s="86">
        <f>'PL weights'!I15</f>
        <v>0</v>
      </c>
      <c r="J15" s="86">
        <f>'PL weights'!J15</f>
        <v>0</v>
      </c>
      <c r="K15" s="86">
        <f>'PL weights'!K15</f>
        <v>0</v>
      </c>
      <c r="L15" s="86">
        <f>'PL weights'!L15</f>
        <v>0</v>
      </c>
      <c r="M15" s="86">
        <f>'PL weights'!M15</f>
        <v>0</v>
      </c>
      <c r="N15" s="86">
        <f>'PL weights'!N15</f>
        <v>0</v>
      </c>
      <c r="O15" s="86">
        <f>'PL weights'!O15</f>
        <v>0</v>
      </c>
      <c r="P15" s="86">
        <f>'PL weights'!P15</f>
        <v>0</v>
      </c>
      <c r="Q15" s="86">
        <f>'PL weights'!Q15</f>
        <v>0</v>
      </c>
      <c r="R15" s="86">
        <f>'PL weights'!R15</f>
        <v>0</v>
      </c>
      <c r="S15" s="86">
        <f>'PL weights'!S15</f>
        <v>0</v>
      </c>
      <c r="T15" s="86">
        <f>'PL weights'!T15</f>
        <v>0</v>
      </c>
      <c r="U15" s="86">
        <f>'PL weights'!U15</f>
        <v>1</v>
      </c>
      <c r="V15" s="86">
        <f>'PL weights'!V15</f>
        <v>0</v>
      </c>
      <c r="W15" s="87">
        <f>'PL weights'!W15</f>
        <v>0</v>
      </c>
      <c r="X15" s="88">
        <f t="shared" si="3"/>
        <v>44.870999999999995</v>
      </c>
      <c r="Y15" s="89">
        <f t="shared" si="1"/>
        <v>0</v>
      </c>
      <c r="Z15" s="68"/>
      <c r="AA15" s="90"/>
      <c r="AB15" s="68"/>
    </row>
    <row r="16" spans="2:28" x14ac:dyDescent="0.25">
      <c r="B16" s="91"/>
      <c r="C16" s="92">
        <v>10</v>
      </c>
      <c r="D16" s="93">
        <f t="shared" si="0"/>
        <v>0</v>
      </c>
      <c r="E16" s="93">
        <f t="shared" si="0"/>
        <v>0</v>
      </c>
      <c r="F16" s="94">
        <f>'PL weights'!F16</f>
        <v>2.0617584829890593E-4</v>
      </c>
      <c r="G16" s="95">
        <f>'PL weights'!G16</f>
        <v>0</v>
      </c>
      <c r="H16" s="85">
        <f t="shared" si="2"/>
        <v>0</v>
      </c>
      <c r="I16" s="86">
        <f>'PL weights'!I16</f>
        <v>0.5</v>
      </c>
      <c r="J16" s="86">
        <f>'PL weights'!J16</f>
        <v>0</v>
      </c>
      <c r="K16" s="86">
        <f>'PL weights'!K16</f>
        <v>0</v>
      </c>
      <c r="L16" s="86">
        <f>'PL weights'!L16</f>
        <v>0</v>
      </c>
      <c r="M16" s="86">
        <f>'PL weights'!M16</f>
        <v>0</v>
      </c>
      <c r="N16" s="86">
        <f>'PL weights'!N16</f>
        <v>0</v>
      </c>
      <c r="O16" s="86">
        <f>'PL weights'!O16</f>
        <v>0</v>
      </c>
      <c r="P16" s="86">
        <f>'PL weights'!P16</f>
        <v>0</v>
      </c>
      <c r="Q16" s="86">
        <f>'PL weights'!Q16</f>
        <v>0.5</v>
      </c>
      <c r="R16" s="86">
        <f>'PL weights'!R16</f>
        <v>0</v>
      </c>
      <c r="S16" s="86">
        <f>'PL weights'!S16</f>
        <v>0</v>
      </c>
      <c r="T16" s="86">
        <f>'PL weights'!T16</f>
        <v>0</v>
      </c>
      <c r="U16" s="86">
        <f>'PL weights'!U16</f>
        <v>0</v>
      </c>
      <c r="V16" s="86">
        <f>'PL weights'!V16</f>
        <v>0</v>
      </c>
      <c r="W16" s="87">
        <f>'PL weights'!W16</f>
        <v>0</v>
      </c>
      <c r="X16" s="88">
        <f t="shared" si="3"/>
        <v>53.722574999999999</v>
      </c>
      <c r="Y16" s="89">
        <f t="shared" si="1"/>
        <v>0</v>
      </c>
      <c r="Z16" s="68"/>
      <c r="AA16" s="90"/>
      <c r="AB16" s="68"/>
    </row>
    <row r="17" spans="2:28" x14ac:dyDescent="0.25">
      <c r="B17" s="91"/>
      <c r="C17" s="92">
        <v>11</v>
      </c>
      <c r="D17" s="93">
        <f t="shared" si="0"/>
        <v>0</v>
      </c>
      <c r="E17" s="93">
        <f t="shared" si="0"/>
        <v>0</v>
      </c>
      <c r="F17" s="94">
        <f>'PL weights'!F17</f>
        <v>1.7664406197061343E-2</v>
      </c>
      <c r="G17" s="95">
        <f>'PL weights'!G17</f>
        <v>0</v>
      </c>
      <c r="H17" s="85">
        <f t="shared" si="2"/>
        <v>0</v>
      </c>
      <c r="I17" s="86">
        <f>'PL weights'!I17</f>
        <v>0</v>
      </c>
      <c r="J17" s="86">
        <f>'PL weights'!J17</f>
        <v>0.75</v>
      </c>
      <c r="K17" s="86">
        <f>'PL weights'!K17</f>
        <v>0</v>
      </c>
      <c r="L17" s="86">
        <f>'PL weights'!L17</f>
        <v>0.25</v>
      </c>
      <c r="M17" s="86">
        <f>'PL weights'!M17</f>
        <v>0</v>
      </c>
      <c r="N17" s="86">
        <f>'PL weights'!N17</f>
        <v>0</v>
      </c>
      <c r="O17" s="86">
        <f>'PL weights'!O17</f>
        <v>0</v>
      </c>
      <c r="P17" s="86">
        <f>'PL weights'!P17</f>
        <v>0</v>
      </c>
      <c r="Q17" s="86">
        <f>'PL weights'!Q17</f>
        <v>0</v>
      </c>
      <c r="R17" s="86">
        <f>'PL weights'!R17</f>
        <v>0</v>
      </c>
      <c r="S17" s="86">
        <f>'PL weights'!S17</f>
        <v>0</v>
      </c>
      <c r="T17" s="86">
        <f>'PL weights'!T17</f>
        <v>0</v>
      </c>
      <c r="U17" s="86">
        <f>'PL weights'!U17</f>
        <v>0</v>
      </c>
      <c r="V17" s="86">
        <f>'PL weights'!V17</f>
        <v>0</v>
      </c>
      <c r="W17" s="87">
        <f>'PL weights'!W17</f>
        <v>0</v>
      </c>
      <c r="X17" s="88">
        <f t="shared" si="3"/>
        <v>51.36</v>
      </c>
      <c r="Y17" s="89">
        <f t="shared" si="1"/>
        <v>0</v>
      </c>
      <c r="Z17" s="68"/>
      <c r="AA17" s="90"/>
      <c r="AB17" s="68"/>
    </row>
    <row r="18" spans="2:28" x14ac:dyDescent="0.25">
      <c r="B18" s="91"/>
      <c r="C18" s="92">
        <v>12</v>
      </c>
      <c r="D18" s="93">
        <f t="shared" si="0"/>
        <v>0</v>
      </c>
      <c r="E18" s="93">
        <f t="shared" si="0"/>
        <v>0</v>
      </c>
      <c r="F18" s="94">
        <f>'PL weights'!F18</f>
        <v>2.5713188511298428E-4</v>
      </c>
      <c r="G18" s="95">
        <f>'PL weights'!G18</f>
        <v>0</v>
      </c>
      <c r="H18" s="85">
        <f t="shared" si="2"/>
        <v>0</v>
      </c>
      <c r="I18" s="86">
        <f>'PL weights'!I18</f>
        <v>0</v>
      </c>
      <c r="J18" s="86">
        <f>'PL weights'!J18</f>
        <v>0</v>
      </c>
      <c r="K18" s="86">
        <f>'PL weights'!K18</f>
        <v>0</v>
      </c>
      <c r="L18" s="86">
        <f>'PL weights'!L18</f>
        <v>0</v>
      </c>
      <c r="M18" s="86">
        <f>'PL weights'!M18</f>
        <v>0</v>
      </c>
      <c r="N18" s="86">
        <f>'PL weights'!N18</f>
        <v>1</v>
      </c>
      <c r="O18" s="86">
        <f>'PL weights'!O18</f>
        <v>0</v>
      </c>
      <c r="P18" s="86">
        <f>'PL weights'!P18</f>
        <v>0</v>
      </c>
      <c r="Q18" s="86">
        <f>'PL weights'!Q18</f>
        <v>0</v>
      </c>
      <c r="R18" s="86">
        <f>'PL weights'!R18</f>
        <v>0</v>
      </c>
      <c r="S18" s="86">
        <f>'PL weights'!S18</f>
        <v>0</v>
      </c>
      <c r="T18" s="86">
        <f>'PL weights'!T18</f>
        <v>0</v>
      </c>
      <c r="U18" s="86">
        <f>'PL weights'!U18</f>
        <v>0</v>
      </c>
      <c r="V18" s="86">
        <f>'PL weights'!V18</f>
        <v>0</v>
      </c>
      <c r="W18" s="87">
        <f>'PL weights'!W18</f>
        <v>0</v>
      </c>
      <c r="X18" s="88">
        <f t="shared" si="3"/>
        <v>45.515999999999998</v>
      </c>
      <c r="Y18" s="89">
        <f t="shared" si="1"/>
        <v>0</v>
      </c>
      <c r="Z18" s="68"/>
      <c r="AA18" s="90"/>
      <c r="AB18" s="68"/>
    </row>
    <row r="19" spans="2:28" x14ac:dyDescent="0.25">
      <c r="B19" s="91"/>
      <c r="C19" s="92">
        <v>13</v>
      </c>
      <c r="D19" s="93">
        <f t="shared" si="0"/>
        <v>0</v>
      </c>
      <c r="E19" s="93">
        <f t="shared" si="0"/>
        <v>0</v>
      </c>
      <c r="F19" s="94">
        <f>'PL weights'!F19</f>
        <v>5.1227732361587694E-3</v>
      </c>
      <c r="G19" s="95">
        <f>'PL weights'!G19</f>
        <v>0</v>
      </c>
      <c r="H19" s="85">
        <f t="shared" si="2"/>
        <v>0</v>
      </c>
      <c r="I19" s="86">
        <f>'PL weights'!I19</f>
        <v>0</v>
      </c>
      <c r="J19" s="86">
        <f>'PL weights'!J19</f>
        <v>0</v>
      </c>
      <c r="K19" s="86">
        <f>'PL weights'!K19</f>
        <v>1</v>
      </c>
      <c r="L19" s="86">
        <f>'PL weights'!L19</f>
        <v>0</v>
      </c>
      <c r="M19" s="86">
        <f>'PL weights'!M19</f>
        <v>0</v>
      </c>
      <c r="N19" s="86">
        <f>'PL weights'!N19</f>
        <v>0</v>
      </c>
      <c r="O19" s="86">
        <f>'PL weights'!O19</f>
        <v>0</v>
      </c>
      <c r="P19" s="86">
        <f>'PL weights'!P19</f>
        <v>0</v>
      </c>
      <c r="Q19" s="86">
        <f>'PL weights'!Q19</f>
        <v>0</v>
      </c>
      <c r="R19" s="86">
        <f>'PL weights'!R19</f>
        <v>0</v>
      </c>
      <c r="S19" s="86">
        <f>'PL weights'!S19</f>
        <v>0</v>
      </c>
      <c r="T19" s="86">
        <f>'PL weights'!T19</f>
        <v>0</v>
      </c>
      <c r="U19" s="86">
        <f>'PL weights'!U19</f>
        <v>0</v>
      </c>
      <c r="V19" s="86">
        <f>'PL weights'!V19</f>
        <v>0</v>
      </c>
      <c r="W19" s="87">
        <f>'PL weights'!W19</f>
        <v>0</v>
      </c>
      <c r="X19" s="88">
        <f t="shared" si="3"/>
        <v>54.163724999999992</v>
      </c>
      <c r="Y19" s="89">
        <f t="shared" si="1"/>
        <v>0</v>
      </c>
      <c r="Z19" s="68"/>
      <c r="AA19" s="90"/>
      <c r="AB19" s="68"/>
    </row>
    <row r="20" spans="2:28" x14ac:dyDescent="0.25">
      <c r="B20" s="91"/>
      <c r="C20" s="92">
        <v>14</v>
      </c>
      <c r="D20" s="93">
        <f t="shared" si="0"/>
        <v>0</v>
      </c>
      <c r="E20" s="93">
        <f t="shared" si="0"/>
        <v>0</v>
      </c>
      <c r="F20" s="94">
        <f>'PL weights'!F20</f>
        <v>2.1250831871226679E-4</v>
      </c>
      <c r="G20" s="95">
        <f>'PL weights'!G20</f>
        <v>0</v>
      </c>
      <c r="H20" s="85">
        <f t="shared" si="2"/>
        <v>0</v>
      </c>
      <c r="I20" s="86">
        <f>'PL weights'!I20</f>
        <v>0</v>
      </c>
      <c r="J20" s="86">
        <f>'PL weights'!J20</f>
        <v>0.8</v>
      </c>
      <c r="K20" s="86">
        <f>'PL weights'!K20</f>
        <v>0</v>
      </c>
      <c r="L20" s="86">
        <f>'PL weights'!L20</f>
        <v>0</v>
      </c>
      <c r="M20" s="86">
        <f>'PL weights'!M20</f>
        <v>0</v>
      </c>
      <c r="N20" s="86">
        <f>'PL weights'!N20</f>
        <v>0.2</v>
      </c>
      <c r="O20" s="86">
        <f>'PL weights'!O20</f>
        <v>0</v>
      </c>
      <c r="P20" s="86">
        <f>'PL weights'!P20</f>
        <v>0</v>
      </c>
      <c r="Q20" s="86">
        <f>'PL weights'!Q20</f>
        <v>0</v>
      </c>
      <c r="R20" s="86">
        <f>'PL weights'!R20</f>
        <v>0</v>
      </c>
      <c r="S20" s="86">
        <f>'PL weights'!S20</f>
        <v>0</v>
      </c>
      <c r="T20" s="86">
        <f>'PL weights'!T20</f>
        <v>0</v>
      </c>
      <c r="U20" s="86">
        <f>'PL weights'!U20</f>
        <v>0</v>
      </c>
      <c r="V20" s="86">
        <f>'PL weights'!V20</f>
        <v>0</v>
      </c>
      <c r="W20" s="87">
        <f>'PL weights'!W20</f>
        <v>0</v>
      </c>
      <c r="X20" s="88">
        <f t="shared" si="3"/>
        <v>48</v>
      </c>
      <c r="Y20" s="89">
        <f t="shared" si="1"/>
        <v>0</v>
      </c>
      <c r="Z20" s="68"/>
      <c r="AA20" s="90"/>
      <c r="AB20" s="68"/>
    </row>
    <row r="21" spans="2:28" x14ac:dyDescent="0.25">
      <c r="B21" s="91"/>
      <c r="C21" s="92">
        <v>15</v>
      </c>
      <c r="D21" s="93">
        <f t="shared" si="0"/>
        <v>0</v>
      </c>
      <c r="E21" s="93">
        <f t="shared" si="0"/>
        <v>0</v>
      </c>
      <c r="F21" s="94">
        <f>'PL weights'!F21</f>
        <v>4.9956210343646647E-2</v>
      </c>
      <c r="G21" s="95">
        <f>'PL weights'!G21</f>
        <v>0</v>
      </c>
      <c r="H21" s="85">
        <f t="shared" si="2"/>
        <v>0</v>
      </c>
      <c r="I21" s="86">
        <f>'PL weights'!I21</f>
        <v>0</v>
      </c>
      <c r="J21" s="86">
        <f>'PL weights'!J21</f>
        <v>0</v>
      </c>
      <c r="K21" s="86">
        <f>'PL weights'!K21</f>
        <v>0</v>
      </c>
      <c r="L21" s="86">
        <f>'PL weights'!L21</f>
        <v>0.1</v>
      </c>
      <c r="M21" s="86">
        <f>'PL weights'!M21</f>
        <v>0</v>
      </c>
      <c r="N21" s="86">
        <f>'PL weights'!N21</f>
        <v>0.1</v>
      </c>
      <c r="O21" s="86">
        <f>'PL weights'!O21</f>
        <v>0</v>
      </c>
      <c r="P21" s="86">
        <f>'PL weights'!P21</f>
        <v>0</v>
      </c>
      <c r="Q21" s="86">
        <f>'PL weights'!Q21</f>
        <v>0.31</v>
      </c>
      <c r="R21" s="86">
        <f>'PL weights'!R21</f>
        <v>0.31</v>
      </c>
      <c r="S21" s="86">
        <f>'PL weights'!S21</f>
        <v>0</v>
      </c>
      <c r="T21" s="86">
        <f>'PL weights'!T21</f>
        <v>0.18</v>
      </c>
      <c r="U21" s="86">
        <f>'PL weights'!U21</f>
        <v>0</v>
      </c>
      <c r="V21" s="86">
        <f>'PL weights'!V21</f>
        <v>0</v>
      </c>
      <c r="W21" s="87">
        <f>'PL weights'!W21</f>
        <v>0</v>
      </c>
      <c r="X21" s="88">
        <f t="shared" si="3"/>
        <v>59.786620124999999</v>
      </c>
      <c r="Y21" s="89">
        <f t="shared" si="1"/>
        <v>0</v>
      </c>
      <c r="Z21" s="68"/>
      <c r="AA21" s="90"/>
      <c r="AB21" s="68"/>
    </row>
    <row r="22" spans="2:28" ht="15.75" thickBot="1" x14ac:dyDescent="0.3">
      <c r="B22" s="96"/>
      <c r="C22" s="97">
        <v>16</v>
      </c>
      <c r="D22" s="98">
        <f t="shared" si="0"/>
        <v>0</v>
      </c>
      <c r="E22" s="98">
        <f t="shared" si="0"/>
        <v>0</v>
      </c>
      <c r="F22" s="99">
        <f>'PL weights'!F22</f>
        <v>4.7132776642669884E-2</v>
      </c>
      <c r="G22" s="100">
        <f>'PL weights'!G22</f>
        <v>0</v>
      </c>
      <c r="H22" s="101">
        <f t="shared" si="2"/>
        <v>0</v>
      </c>
      <c r="I22" s="102">
        <f>'PL weights'!I22</f>
        <v>0</v>
      </c>
      <c r="J22" s="102">
        <f>'PL weights'!J22</f>
        <v>0</v>
      </c>
      <c r="K22" s="102">
        <f>'PL weights'!K22</f>
        <v>1</v>
      </c>
      <c r="L22" s="102">
        <f>'PL weights'!L22</f>
        <v>0</v>
      </c>
      <c r="M22" s="102">
        <f>'PL weights'!M22</f>
        <v>0</v>
      </c>
      <c r="N22" s="102">
        <f>'PL weights'!N22</f>
        <v>0</v>
      </c>
      <c r="O22" s="102">
        <f>'PL weights'!O22</f>
        <v>0</v>
      </c>
      <c r="P22" s="102">
        <f>'PL weights'!P22</f>
        <v>0</v>
      </c>
      <c r="Q22" s="102">
        <f>'PL weights'!Q22</f>
        <v>0</v>
      </c>
      <c r="R22" s="102">
        <f>'PL weights'!R22</f>
        <v>0</v>
      </c>
      <c r="S22" s="102">
        <f>'PL weights'!S22</f>
        <v>0</v>
      </c>
      <c r="T22" s="102">
        <f>'PL weights'!T22</f>
        <v>0</v>
      </c>
      <c r="U22" s="102">
        <f>'PL weights'!U22</f>
        <v>0</v>
      </c>
      <c r="V22" s="102">
        <f>'PL weights'!V22</f>
        <v>0</v>
      </c>
      <c r="W22" s="103">
        <f>'PL weights'!W22</f>
        <v>0</v>
      </c>
      <c r="X22" s="104">
        <f t="shared" si="3"/>
        <v>54.163724999999992</v>
      </c>
      <c r="Y22" s="105">
        <f t="shared" si="1"/>
        <v>0</v>
      </c>
      <c r="Z22" s="68"/>
      <c r="AA22" s="80"/>
      <c r="AB22" s="68"/>
    </row>
    <row r="23" spans="2:28" ht="15.75" thickBot="1" x14ac:dyDescent="0.3">
      <c r="E23" s="106" t="s">
        <v>129</v>
      </c>
      <c r="F23" s="107">
        <f>SUM(F8:F22)</f>
        <v>0.29317530285668392</v>
      </c>
      <c r="G23" s="107">
        <f>SUM(G8:G22)</f>
        <v>0</v>
      </c>
      <c r="H23" s="108" t="s">
        <v>130</v>
      </c>
      <c r="I23" s="109">
        <f t="shared" ref="I23:W23" si="4">I24*I6</f>
        <v>0</v>
      </c>
      <c r="J23" s="109">
        <f t="shared" si="4"/>
        <v>0</v>
      </c>
      <c r="K23" s="109">
        <f t="shared" si="4"/>
        <v>0</v>
      </c>
      <c r="L23" s="109">
        <f t="shared" si="4"/>
        <v>0</v>
      </c>
      <c r="M23" s="109">
        <f t="shared" si="4"/>
        <v>0</v>
      </c>
      <c r="N23" s="109">
        <f t="shared" si="4"/>
        <v>0</v>
      </c>
      <c r="O23" s="109">
        <f t="shared" si="4"/>
        <v>0</v>
      </c>
      <c r="P23" s="109">
        <f t="shared" si="4"/>
        <v>0</v>
      </c>
      <c r="Q23" s="109">
        <f t="shared" si="4"/>
        <v>0</v>
      </c>
      <c r="R23" s="109">
        <f t="shared" si="4"/>
        <v>0</v>
      </c>
      <c r="S23" s="109">
        <f t="shared" si="4"/>
        <v>0</v>
      </c>
      <c r="T23" s="109">
        <f t="shared" si="4"/>
        <v>0</v>
      </c>
      <c r="U23" s="109">
        <f t="shared" si="4"/>
        <v>0</v>
      </c>
      <c r="V23" s="110">
        <f t="shared" si="4"/>
        <v>0</v>
      </c>
      <c r="W23" s="111">
        <f t="shared" si="4"/>
        <v>0</v>
      </c>
      <c r="X23" s="112"/>
      <c r="Y23" s="113"/>
      <c r="Z23" s="68"/>
      <c r="AA23" s="68"/>
      <c r="AB23" s="68"/>
    </row>
    <row r="24" spans="2:28" ht="15.75" thickBot="1" x14ac:dyDescent="0.3">
      <c r="F24" s="114"/>
      <c r="G24" s="114"/>
      <c r="H24" s="108" t="s">
        <v>131</v>
      </c>
      <c r="I24" s="115">
        <f>I8*$Y$8+I9*$Y$9+I10*$Y$10+I11*$Y$11+I12*$Y$12+I13*$Y$13+I14*$Y$14+I15*$Y$15+I16*$Y$16+I17*$Y$17+I18*$Y$18+I19*$Y$19+I20*$Y$20+I21*$Y$21+I22*$Y$22</f>
        <v>0</v>
      </c>
      <c r="J24" s="115">
        <f t="shared" ref="J24:W24" si="5">J8*$Y$8+J9*$Y$9+J10*$Y$10+J11*$Y$11+J12*$Y$12+J13*$Y$13+J14*$Y$14+J15*$Y$15+J16*$Y$16+J17*$Y$17+J18*$Y$18+J19*$Y$19+J20*$Y$20+J21*$Y$21+J22*$Y$22</f>
        <v>0</v>
      </c>
      <c r="K24" s="115">
        <f t="shared" si="5"/>
        <v>0</v>
      </c>
      <c r="L24" s="115">
        <f t="shared" si="5"/>
        <v>0</v>
      </c>
      <c r="M24" s="115">
        <f t="shared" si="5"/>
        <v>0</v>
      </c>
      <c r="N24" s="115">
        <f t="shared" si="5"/>
        <v>0</v>
      </c>
      <c r="O24" s="115">
        <f t="shared" si="5"/>
        <v>0</v>
      </c>
      <c r="P24" s="115">
        <f t="shared" si="5"/>
        <v>0</v>
      </c>
      <c r="Q24" s="115">
        <f t="shared" si="5"/>
        <v>0</v>
      </c>
      <c r="R24" s="115">
        <f t="shared" si="5"/>
        <v>0</v>
      </c>
      <c r="S24" s="115">
        <f t="shared" si="5"/>
        <v>0</v>
      </c>
      <c r="T24" s="115">
        <f t="shared" si="5"/>
        <v>0</v>
      </c>
      <c r="U24" s="115">
        <f t="shared" si="5"/>
        <v>0</v>
      </c>
      <c r="V24" s="116">
        <f t="shared" si="5"/>
        <v>0</v>
      </c>
      <c r="W24" s="117">
        <f t="shared" si="5"/>
        <v>0</v>
      </c>
      <c r="X24" s="118"/>
      <c r="Y24" s="119">
        <f>SUM(Y8:Y22)</f>
        <v>0</v>
      </c>
      <c r="Z24" s="68"/>
      <c r="AA24" s="68"/>
      <c r="AB24" s="68"/>
    </row>
    <row r="25" spans="2:28" x14ac:dyDescent="0.25">
      <c r="B25" s="68"/>
      <c r="C25" s="68"/>
      <c r="D25" s="68"/>
      <c r="E25" s="68"/>
      <c r="F25" s="120"/>
      <c r="G25" s="120"/>
      <c r="I25" s="121"/>
      <c r="J25" s="121"/>
      <c r="K25" s="121"/>
      <c r="L25" s="121"/>
      <c r="M25" s="121"/>
      <c r="N25" s="121"/>
      <c r="O25" s="121"/>
      <c r="P25" s="121"/>
      <c r="Q25" s="121"/>
      <c r="R25" s="121"/>
      <c r="S25" s="121"/>
      <c r="T25" s="121"/>
      <c r="U25" s="121"/>
      <c r="V25" s="121"/>
      <c r="W25" s="121"/>
      <c r="X25" s="68"/>
      <c r="Y25" s="68"/>
      <c r="Z25" s="68"/>
      <c r="AA25" s="68"/>
      <c r="AB25" s="68"/>
    </row>
    <row r="26" spans="2:28" x14ac:dyDescent="0.25">
      <c r="B26" s="122"/>
      <c r="C26" s="68"/>
      <c r="D26" s="68"/>
      <c r="E26" s="68"/>
      <c r="F26" s="68"/>
      <c r="G26" s="68"/>
      <c r="H26" s="68"/>
      <c r="I26" s="90"/>
      <c r="J26" s="90"/>
      <c r="K26" s="90"/>
      <c r="L26" s="90"/>
      <c r="M26" s="90"/>
      <c r="N26" s="90"/>
      <c r="O26" s="90"/>
      <c r="P26" s="90"/>
      <c r="Q26" s="90"/>
      <c r="R26" s="90"/>
      <c r="S26" s="90"/>
      <c r="T26" s="90"/>
      <c r="U26" s="90"/>
      <c r="V26" s="90"/>
      <c r="W26" s="90"/>
      <c r="X26" s="68"/>
      <c r="Y26" s="68"/>
      <c r="Z26" s="68"/>
      <c r="AA26" s="68"/>
      <c r="AB26" s="68"/>
    </row>
    <row r="27" spans="2:28" x14ac:dyDescent="0.25">
      <c r="B27" s="122"/>
      <c r="C27" s="122"/>
      <c r="D27" s="122"/>
      <c r="E27" s="122">
        <v>1</v>
      </c>
      <c r="F27" s="123"/>
      <c r="G27" s="122"/>
      <c r="H27" s="122"/>
      <c r="I27" s="124" t="str">
        <f>I5</f>
        <v>Carpenters</v>
      </c>
      <c r="J27" s="125">
        <f>I24</f>
        <v>0</v>
      </c>
      <c r="K27" s="122"/>
      <c r="L27" s="122"/>
      <c r="M27" s="122"/>
      <c r="N27" s="122"/>
      <c r="O27" s="122"/>
      <c r="P27" s="122"/>
      <c r="Q27" s="122"/>
      <c r="R27" s="122"/>
      <c r="S27" s="122"/>
      <c r="T27" s="122"/>
      <c r="U27" s="122"/>
      <c r="V27" s="122"/>
      <c r="W27" s="68"/>
      <c r="X27" s="68"/>
      <c r="Y27" s="68"/>
      <c r="Z27" s="68"/>
      <c r="AA27" s="68"/>
    </row>
    <row r="28" spans="2:28" ht="15.75" x14ac:dyDescent="0.25">
      <c r="B28" s="122"/>
      <c r="C28" s="122"/>
      <c r="D28" s="122"/>
      <c r="E28" s="122">
        <v>2</v>
      </c>
      <c r="F28" s="123"/>
      <c r="G28" s="122"/>
      <c r="H28" s="122"/>
      <c r="I28" s="124" t="str">
        <f>K5</f>
        <v>Electricians</v>
      </c>
      <c r="J28" s="125">
        <f>K24</f>
        <v>0</v>
      </c>
      <c r="K28" s="126"/>
      <c r="L28" s="126"/>
      <c r="M28" s="126"/>
      <c r="N28" s="126"/>
      <c r="O28" s="126"/>
      <c r="P28" s="126"/>
      <c r="Q28" s="126"/>
      <c r="R28" s="126"/>
      <c r="S28" s="126"/>
      <c r="T28" s="126"/>
      <c r="U28" s="126"/>
      <c r="V28" s="126"/>
      <c r="W28" s="68"/>
      <c r="Y28" s="68"/>
    </row>
    <row r="29" spans="2:28" ht="15.75" x14ac:dyDescent="0.25">
      <c r="B29" s="122"/>
      <c r="C29" s="122"/>
      <c r="D29" s="123"/>
      <c r="E29" s="122">
        <v>3</v>
      </c>
      <c r="F29" s="123"/>
      <c r="G29" s="122"/>
      <c r="H29" s="122"/>
      <c r="I29" s="124" t="str">
        <f>L5</f>
        <v>Heavy Equipment Operators</v>
      </c>
      <c r="J29" s="125">
        <f>L24</f>
        <v>0</v>
      </c>
      <c r="K29" s="122"/>
      <c r="L29" s="122"/>
      <c r="M29" s="122"/>
      <c r="N29" s="122"/>
      <c r="O29" s="127"/>
      <c r="P29" s="122"/>
      <c r="Q29" s="122"/>
      <c r="R29" s="122"/>
      <c r="S29" s="122"/>
      <c r="T29" s="122"/>
      <c r="U29" s="122"/>
      <c r="V29" s="122"/>
      <c r="W29" s="68"/>
      <c r="Y29" s="68"/>
    </row>
    <row r="30" spans="2:28" ht="15.75" x14ac:dyDescent="0.25">
      <c r="B30" s="122"/>
      <c r="C30" s="122"/>
      <c r="D30" s="123"/>
      <c r="E30" s="122">
        <v>4</v>
      </c>
      <c r="F30" s="123"/>
      <c r="G30" s="122"/>
      <c r="H30" s="122"/>
      <c r="I30" s="124" t="str">
        <f>M5</f>
        <v>Ironworkers - reinforcing steel</v>
      </c>
      <c r="J30" s="125">
        <f>M24</f>
        <v>0</v>
      </c>
      <c r="K30" s="122"/>
      <c r="L30" s="122"/>
      <c r="M30" s="122"/>
      <c r="N30" s="122"/>
      <c r="O30" s="127"/>
      <c r="P30" s="122"/>
      <c r="Q30" s="122"/>
      <c r="R30" s="122"/>
      <c r="S30" s="122"/>
      <c r="T30" s="122"/>
      <c r="U30" s="122"/>
      <c r="V30" s="122"/>
      <c r="W30" s="68"/>
      <c r="Y30" s="68"/>
    </row>
    <row r="31" spans="2:28" ht="15.75" x14ac:dyDescent="0.25">
      <c r="B31" s="122"/>
      <c r="C31" s="122"/>
      <c r="D31" s="123"/>
      <c r="E31" s="122">
        <v>5</v>
      </c>
      <c r="F31" s="123"/>
      <c r="G31" s="122"/>
      <c r="H31" s="122"/>
      <c r="I31" s="124" t="str">
        <f>N5</f>
        <v>Laborers</v>
      </c>
      <c r="J31" s="125">
        <f>N24</f>
        <v>0</v>
      </c>
      <c r="K31" s="122"/>
      <c r="L31" s="122"/>
      <c r="M31" s="122"/>
      <c r="N31" s="122"/>
      <c r="O31" s="127"/>
      <c r="P31" s="122"/>
      <c r="Q31" s="122"/>
      <c r="R31" s="122"/>
      <c r="S31" s="122"/>
      <c r="T31" s="122"/>
      <c r="U31" s="122"/>
      <c r="V31" s="122"/>
      <c r="W31" s="68"/>
      <c r="Y31" s="68"/>
    </row>
    <row r="32" spans="2:28" ht="15.75" x14ac:dyDescent="0.25">
      <c r="B32" s="122"/>
      <c r="C32" s="122"/>
      <c r="D32" s="123"/>
      <c r="E32" s="122">
        <v>6</v>
      </c>
      <c r="F32" s="123"/>
      <c r="G32" s="122"/>
      <c r="H32" s="122"/>
      <c r="I32" s="124" t="str">
        <f>O5</f>
        <v>Masons</v>
      </c>
      <c r="J32" s="125">
        <f>O24</f>
        <v>0</v>
      </c>
      <c r="K32" s="122"/>
      <c r="L32" s="122"/>
      <c r="M32" s="122"/>
      <c r="N32" s="122"/>
      <c r="O32" s="127"/>
      <c r="P32" s="122"/>
      <c r="Q32" s="122"/>
      <c r="R32" s="122"/>
      <c r="S32" s="122"/>
      <c r="T32" s="122"/>
      <c r="U32" s="122"/>
      <c r="V32" s="122"/>
      <c r="W32" s="68"/>
      <c r="Y32" s="68"/>
    </row>
    <row r="33" spans="2:25" ht="15.75" x14ac:dyDescent="0.25">
      <c r="B33" s="122"/>
      <c r="C33" s="122"/>
      <c r="D33" s="123"/>
      <c r="E33" s="122">
        <v>7</v>
      </c>
      <c r="F33" s="123"/>
      <c r="G33" s="122"/>
      <c r="H33" s="122"/>
      <c r="I33" s="124" t="str">
        <f>J5</f>
        <v>Millwrights</v>
      </c>
      <c r="J33" s="125">
        <f>J24</f>
        <v>0</v>
      </c>
      <c r="K33" s="122"/>
      <c r="L33" s="122"/>
      <c r="M33" s="122"/>
      <c r="N33" s="122"/>
      <c r="O33" s="127"/>
      <c r="P33" s="122"/>
      <c r="Q33" s="122"/>
      <c r="R33" s="122"/>
      <c r="S33" s="122"/>
      <c r="T33" s="122"/>
      <c r="U33" s="122"/>
      <c r="V33" s="122"/>
      <c r="W33" s="68"/>
      <c r="Y33" s="68"/>
    </row>
    <row r="34" spans="2:25" ht="15.75" x14ac:dyDescent="0.25">
      <c r="B34" s="122"/>
      <c r="C34" s="122"/>
      <c r="D34" s="123"/>
      <c r="E34" s="122">
        <v>8</v>
      </c>
      <c r="F34" s="123"/>
      <c r="G34" s="122"/>
      <c r="H34" s="122"/>
      <c r="I34" s="124" t="str">
        <f>U5</f>
        <v>Painter</v>
      </c>
      <c r="J34" s="125">
        <f>U24</f>
        <v>0</v>
      </c>
      <c r="K34" s="122"/>
      <c r="L34" s="128"/>
      <c r="M34" s="122"/>
      <c r="N34" s="122"/>
      <c r="O34" s="127"/>
      <c r="P34" s="122"/>
      <c r="Q34" s="122"/>
      <c r="R34" s="122"/>
      <c r="S34" s="122"/>
      <c r="T34" s="122"/>
      <c r="U34" s="122"/>
      <c r="V34" s="122"/>
      <c r="W34" s="68"/>
      <c r="Y34" s="68"/>
    </row>
    <row r="35" spans="2:25" ht="15.75" x14ac:dyDescent="0.25">
      <c r="B35" s="122"/>
      <c r="C35" s="122"/>
      <c r="D35" s="123"/>
      <c r="E35" s="122">
        <v>9</v>
      </c>
      <c r="F35" s="123"/>
      <c r="G35" s="122"/>
      <c r="H35" s="122"/>
      <c r="I35" s="124" t="str">
        <f>T5</f>
        <v>Pipefitter</v>
      </c>
      <c r="J35" s="125">
        <f>T24</f>
        <v>0</v>
      </c>
      <c r="K35" s="122"/>
      <c r="L35" s="122"/>
      <c r="M35" s="122"/>
      <c r="N35" s="122"/>
      <c r="O35" s="127"/>
      <c r="P35" s="122"/>
      <c r="Q35" s="122"/>
      <c r="R35" s="122"/>
      <c r="S35" s="122"/>
      <c r="T35" s="122"/>
      <c r="U35" s="122"/>
      <c r="V35" s="122"/>
      <c r="W35" s="68"/>
      <c r="Y35" s="68"/>
    </row>
    <row r="36" spans="2:25" ht="15.75" x14ac:dyDescent="0.25">
      <c r="B36" s="122"/>
      <c r="C36" s="122"/>
      <c r="D36" s="123"/>
      <c r="E36" s="122">
        <v>10</v>
      </c>
      <c r="F36" s="123"/>
      <c r="G36" s="122"/>
      <c r="H36" s="122"/>
      <c r="I36" s="124" t="str">
        <f>Q5</f>
        <v>Plumbers</v>
      </c>
      <c r="J36" s="125">
        <f>Q24</f>
        <v>0</v>
      </c>
      <c r="K36" s="122"/>
      <c r="L36" s="122"/>
      <c r="M36" s="122"/>
      <c r="N36" s="122"/>
      <c r="O36" s="127"/>
      <c r="P36" s="122"/>
      <c r="Q36" s="122"/>
      <c r="R36" s="122"/>
      <c r="S36" s="122"/>
      <c r="T36" s="122"/>
      <c r="U36" s="122"/>
      <c r="V36" s="122"/>
      <c r="W36" s="68"/>
      <c r="Y36" s="68"/>
    </row>
    <row r="37" spans="2:25" ht="15.75" x14ac:dyDescent="0.25">
      <c r="B37" s="122"/>
      <c r="C37" s="122"/>
      <c r="D37" s="123"/>
      <c r="E37" s="122">
        <v>11</v>
      </c>
      <c r="F37" s="123"/>
      <c r="G37" s="122"/>
      <c r="H37" s="122"/>
      <c r="I37" s="124" t="str">
        <f>W5</f>
        <v>Roofer</v>
      </c>
      <c r="J37" s="125">
        <f>W24</f>
        <v>0</v>
      </c>
      <c r="K37" s="122"/>
      <c r="L37" s="122"/>
      <c r="M37" s="122"/>
      <c r="N37" s="122"/>
      <c r="O37" s="127"/>
      <c r="P37" s="122"/>
      <c r="Q37" s="122"/>
      <c r="R37" s="122"/>
      <c r="S37" s="122"/>
      <c r="T37" s="122"/>
      <c r="U37" s="122"/>
      <c r="V37" s="122"/>
      <c r="W37" s="68"/>
      <c r="Y37" s="68"/>
    </row>
    <row r="38" spans="2:25" ht="15.75" x14ac:dyDescent="0.25">
      <c r="B38" s="122"/>
      <c r="C38" s="122"/>
      <c r="D38" s="123"/>
      <c r="E38" s="122">
        <v>12</v>
      </c>
      <c r="F38" s="123"/>
      <c r="G38" s="122"/>
      <c r="H38" s="122"/>
      <c r="I38" s="124" t="str">
        <f>R5</f>
        <v>Sheet Metal Workers</v>
      </c>
      <c r="J38" s="125">
        <f>R24</f>
        <v>0</v>
      </c>
      <c r="K38" s="122"/>
      <c r="L38" s="122"/>
      <c r="M38" s="122"/>
      <c r="N38" s="122"/>
      <c r="O38" s="127"/>
      <c r="P38" s="122"/>
      <c r="Q38" s="122"/>
      <c r="R38" s="122"/>
      <c r="S38" s="122"/>
      <c r="T38" s="122"/>
      <c r="U38" s="122"/>
      <c r="V38" s="122"/>
      <c r="W38" s="68"/>
      <c r="Y38" s="68"/>
    </row>
    <row r="39" spans="2:25" ht="15.75" x14ac:dyDescent="0.25">
      <c r="B39" s="122"/>
      <c r="C39" s="122"/>
      <c r="D39" s="123"/>
      <c r="E39" s="122">
        <v>13</v>
      </c>
      <c r="F39" s="123"/>
      <c r="G39" s="122"/>
      <c r="H39" s="122"/>
      <c r="I39" s="124" t="str">
        <f>V5</f>
        <v>Specialty Labor</v>
      </c>
      <c r="J39" s="125">
        <f>V24</f>
        <v>0</v>
      </c>
      <c r="K39" s="122"/>
      <c r="L39" s="122"/>
      <c r="M39" s="122"/>
      <c r="N39" s="122"/>
      <c r="O39" s="127"/>
      <c r="P39" s="122"/>
      <c r="Q39" s="122"/>
      <c r="R39" s="122"/>
      <c r="S39" s="122"/>
      <c r="T39" s="122"/>
      <c r="U39" s="122"/>
      <c r="V39" s="122"/>
      <c r="W39" s="68"/>
    </row>
    <row r="40" spans="2:25" x14ac:dyDescent="0.25">
      <c r="B40" s="122"/>
      <c r="C40" s="122"/>
      <c r="D40" s="123"/>
      <c r="E40" s="123"/>
      <c r="F40" s="129"/>
      <c r="G40" s="129"/>
      <c r="H40" s="122"/>
      <c r="I40" s="122"/>
      <c r="J40" s="122"/>
      <c r="K40" s="122"/>
      <c r="L40" s="122"/>
      <c r="M40" s="122"/>
      <c r="N40" s="122"/>
      <c r="O40" s="122"/>
      <c r="P40" s="122"/>
      <c r="Q40" s="122"/>
      <c r="R40" s="122"/>
      <c r="S40" s="122"/>
      <c r="T40" s="122"/>
      <c r="U40" s="122"/>
      <c r="V40" s="122"/>
      <c r="W40" s="68"/>
    </row>
    <row r="41" spans="2:25" x14ac:dyDescent="0.25">
      <c r="B41" s="122"/>
      <c r="C41" s="122"/>
      <c r="D41" s="123"/>
      <c r="E41" s="123"/>
      <c r="F41" s="129"/>
      <c r="G41" s="129"/>
      <c r="H41" s="122"/>
      <c r="I41" s="122"/>
      <c r="J41" s="122"/>
      <c r="K41" s="122"/>
      <c r="L41" s="122"/>
      <c r="M41" s="122"/>
      <c r="N41" s="122"/>
      <c r="O41" s="122"/>
      <c r="P41" s="122"/>
      <c r="Q41" s="122"/>
      <c r="R41" s="122"/>
      <c r="S41" s="122"/>
      <c r="T41" s="122"/>
      <c r="U41" s="122"/>
      <c r="V41" s="122"/>
      <c r="W41" s="68"/>
    </row>
    <row r="42" spans="2:25" x14ac:dyDescent="0.25">
      <c r="B42" s="122"/>
      <c r="C42" s="122"/>
      <c r="D42" s="122"/>
      <c r="E42" s="122"/>
      <c r="F42" s="122"/>
      <c r="G42" s="122"/>
      <c r="H42" s="122"/>
      <c r="I42" s="122"/>
      <c r="J42" s="122"/>
      <c r="K42" s="122"/>
      <c r="L42" s="122"/>
      <c r="M42" s="122"/>
      <c r="N42" s="122"/>
      <c r="O42" s="122"/>
      <c r="P42" s="122"/>
      <c r="Q42" s="122"/>
      <c r="R42" s="122"/>
      <c r="S42" s="122"/>
      <c r="T42" s="122"/>
      <c r="U42" s="122"/>
      <c r="V42" s="122"/>
      <c r="W42" s="68"/>
    </row>
    <row r="43" spans="2:25" x14ac:dyDescent="0.25">
      <c r="B43" s="122"/>
      <c r="C43" s="122"/>
      <c r="D43" s="122"/>
      <c r="E43" s="122"/>
      <c r="F43" s="122"/>
      <c r="G43" s="122"/>
      <c r="H43" s="122"/>
      <c r="I43" s="122"/>
      <c r="J43" s="122"/>
      <c r="K43" s="122"/>
      <c r="L43" s="122"/>
      <c r="M43" s="122"/>
      <c r="N43" s="122"/>
      <c r="O43" s="122"/>
      <c r="P43" s="122"/>
      <c r="Q43" s="122"/>
      <c r="R43" s="122"/>
      <c r="S43" s="122"/>
      <c r="T43" s="122"/>
      <c r="U43" s="122"/>
      <c r="V43" s="122"/>
      <c r="W43" s="68"/>
    </row>
    <row r="44" spans="2:25" x14ac:dyDescent="0.25">
      <c r="B44" s="122"/>
      <c r="C44" s="122"/>
      <c r="D44" s="122"/>
      <c r="E44" s="122"/>
      <c r="F44" s="123"/>
      <c r="G44" s="122"/>
      <c r="H44" s="122"/>
      <c r="I44" s="122"/>
      <c r="J44" s="122"/>
      <c r="K44" s="122"/>
      <c r="L44" s="122"/>
      <c r="M44" s="122"/>
      <c r="N44" s="122"/>
      <c r="O44" s="122"/>
      <c r="P44" s="122"/>
      <c r="Q44" s="122"/>
      <c r="R44" s="122"/>
      <c r="S44" s="122"/>
      <c r="T44" s="122"/>
      <c r="U44" s="122"/>
      <c r="V44" s="122"/>
      <c r="W44" s="68"/>
    </row>
    <row r="45" spans="2:25" ht="15.75" x14ac:dyDescent="0.25">
      <c r="B45" s="122"/>
      <c r="C45" s="130"/>
      <c r="D45" s="130"/>
      <c r="E45" s="130"/>
      <c r="F45" s="130"/>
      <c r="G45" s="130"/>
      <c r="H45" s="122"/>
      <c r="I45" s="126"/>
      <c r="J45" s="126"/>
      <c r="K45" s="126"/>
      <c r="L45" s="126"/>
      <c r="M45" s="126"/>
      <c r="N45" s="126"/>
      <c r="O45" s="126"/>
      <c r="P45" s="126"/>
      <c r="Q45" s="126"/>
      <c r="R45" s="126"/>
      <c r="S45" s="126"/>
      <c r="T45" s="126"/>
      <c r="U45" s="126"/>
      <c r="V45" s="126"/>
      <c r="W45" s="68"/>
    </row>
    <row r="46" spans="2:25" ht="15.75" x14ac:dyDescent="0.25">
      <c r="B46" s="122"/>
      <c r="C46" s="122"/>
      <c r="D46" s="123"/>
      <c r="E46" s="123"/>
      <c r="F46" s="129"/>
      <c r="G46" s="129"/>
      <c r="H46" s="122"/>
      <c r="I46" s="122"/>
      <c r="J46" s="122"/>
      <c r="K46" s="122"/>
      <c r="L46" s="122"/>
      <c r="M46" s="122"/>
      <c r="N46" s="122"/>
      <c r="O46" s="127"/>
      <c r="P46" s="122"/>
      <c r="Q46" s="122"/>
      <c r="R46" s="122"/>
      <c r="S46" s="122"/>
      <c r="T46" s="122"/>
      <c r="U46" s="122"/>
      <c r="V46" s="122"/>
      <c r="W46" s="68"/>
    </row>
    <row r="47" spans="2:25" ht="15.75" x14ac:dyDescent="0.25">
      <c r="B47" s="122"/>
      <c r="C47" s="122"/>
      <c r="D47" s="123"/>
      <c r="E47" s="123"/>
      <c r="F47" s="129"/>
      <c r="G47" s="129"/>
      <c r="H47" s="122"/>
      <c r="I47" s="122"/>
      <c r="J47" s="122"/>
      <c r="K47" s="122"/>
      <c r="L47" s="122"/>
      <c r="M47" s="122"/>
      <c r="N47" s="122"/>
      <c r="O47" s="127"/>
      <c r="P47" s="122"/>
      <c r="Q47" s="122"/>
      <c r="R47" s="122"/>
      <c r="S47" s="122"/>
      <c r="T47" s="122"/>
      <c r="U47" s="122"/>
      <c r="V47" s="122"/>
      <c r="W47" s="68"/>
    </row>
    <row r="48" spans="2:25" ht="15.75" x14ac:dyDescent="0.25">
      <c r="B48" s="122"/>
      <c r="C48" s="122"/>
      <c r="D48" s="123"/>
      <c r="E48" s="123"/>
      <c r="F48" s="129"/>
      <c r="G48" s="129"/>
      <c r="H48" s="122"/>
      <c r="I48" s="122"/>
      <c r="J48" s="122"/>
      <c r="K48" s="122"/>
      <c r="L48" s="122"/>
      <c r="M48" s="122"/>
      <c r="N48" s="122"/>
      <c r="O48" s="127"/>
      <c r="P48" s="122"/>
      <c r="Q48" s="122"/>
      <c r="R48" s="122"/>
      <c r="S48" s="122"/>
      <c r="T48" s="122"/>
      <c r="U48" s="122"/>
      <c r="V48" s="122"/>
      <c r="W48" s="68"/>
    </row>
    <row r="49" spans="2:23" ht="15.75" x14ac:dyDescent="0.25">
      <c r="B49" s="122"/>
      <c r="C49" s="122"/>
      <c r="D49" s="123"/>
      <c r="E49" s="123"/>
      <c r="F49" s="129"/>
      <c r="G49" s="129"/>
      <c r="H49" s="122"/>
      <c r="I49" s="122"/>
      <c r="J49" s="122"/>
      <c r="K49" s="122"/>
      <c r="L49" s="122"/>
      <c r="M49" s="122"/>
      <c r="N49" s="122"/>
      <c r="O49" s="127"/>
      <c r="P49" s="122"/>
      <c r="Q49" s="122"/>
      <c r="R49" s="122"/>
      <c r="S49" s="122"/>
      <c r="T49" s="122"/>
      <c r="U49" s="122"/>
      <c r="V49" s="122"/>
      <c r="W49" s="68"/>
    </row>
    <row r="50" spans="2:23" ht="15.75" x14ac:dyDescent="0.25">
      <c r="B50" s="122"/>
      <c r="C50" s="122"/>
      <c r="D50" s="123"/>
      <c r="E50" s="123"/>
      <c r="F50" s="129"/>
      <c r="G50" s="129"/>
      <c r="H50" s="122"/>
      <c r="I50" s="122"/>
      <c r="J50" s="122"/>
      <c r="K50" s="122"/>
      <c r="L50" s="122"/>
      <c r="M50" s="122"/>
      <c r="N50" s="122"/>
      <c r="O50" s="127"/>
      <c r="P50" s="122"/>
      <c r="Q50" s="122"/>
      <c r="R50" s="122"/>
      <c r="S50" s="122"/>
      <c r="T50" s="122"/>
      <c r="U50" s="122"/>
      <c r="V50" s="122"/>
      <c r="W50" s="68"/>
    </row>
    <row r="51" spans="2:23" ht="15.75" x14ac:dyDescent="0.25">
      <c r="B51" s="122"/>
      <c r="C51" s="122"/>
      <c r="D51" s="123"/>
      <c r="E51" s="123"/>
      <c r="F51" s="129"/>
      <c r="G51" s="129"/>
      <c r="H51" s="122"/>
      <c r="I51" s="122"/>
      <c r="J51" s="122"/>
      <c r="K51" s="122"/>
      <c r="L51" s="122"/>
      <c r="M51" s="122"/>
      <c r="N51" s="122"/>
      <c r="O51" s="127"/>
      <c r="P51" s="122"/>
      <c r="Q51" s="122"/>
      <c r="R51" s="122"/>
      <c r="S51" s="122"/>
      <c r="T51" s="122"/>
      <c r="U51" s="122"/>
      <c r="V51" s="122"/>
      <c r="W51" s="68"/>
    </row>
    <row r="52" spans="2:23" ht="15.75" x14ac:dyDescent="0.25">
      <c r="B52" s="122"/>
      <c r="C52" s="122"/>
      <c r="D52" s="123"/>
      <c r="E52" s="123"/>
      <c r="F52" s="129"/>
      <c r="G52" s="129"/>
      <c r="H52" s="122"/>
      <c r="I52" s="122"/>
      <c r="J52" s="122"/>
      <c r="K52" s="122"/>
      <c r="L52" s="122"/>
      <c r="M52" s="122"/>
      <c r="N52" s="122"/>
      <c r="O52" s="127"/>
      <c r="P52" s="122"/>
      <c r="Q52" s="122"/>
      <c r="R52" s="122"/>
      <c r="S52" s="122"/>
      <c r="T52" s="122"/>
      <c r="U52" s="122"/>
      <c r="V52" s="122"/>
      <c r="W52" s="68"/>
    </row>
    <row r="53" spans="2:23" ht="15.75" x14ac:dyDescent="0.25">
      <c r="B53" s="122"/>
      <c r="C53" s="122"/>
      <c r="D53" s="123"/>
      <c r="E53" s="123"/>
      <c r="F53" s="129"/>
      <c r="G53" s="129"/>
      <c r="H53" s="122"/>
      <c r="I53" s="122"/>
      <c r="J53" s="122"/>
      <c r="K53" s="122"/>
      <c r="L53" s="122"/>
      <c r="M53" s="122"/>
      <c r="N53" s="122"/>
      <c r="O53" s="127"/>
      <c r="P53" s="122"/>
      <c r="Q53" s="122"/>
      <c r="R53" s="122"/>
      <c r="S53" s="122"/>
      <c r="T53" s="122"/>
      <c r="U53" s="122"/>
      <c r="V53" s="122"/>
      <c r="W53" s="68"/>
    </row>
    <row r="54" spans="2:23" ht="15.75" x14ac:dyDescent="0.25">
      <c r="B54" s="122"/>
      <c r="C54" s="122"/>
      <c r="D54" s="123"/>
      <c r="E54" s="123"/>
      <c r="F54" s="129"/>
      <c r="G54" s="129"/>
      <c r="H54" s="122"/>
      <c r="I54" s="122"/>
      <c r="J54" s="122"/>
      <c r="K54" s="122"/>
      <c r="L54" s="122"/>
      <c r="M54" s="122"/>
      <c r="N54" s="122"/>
      <c r="O54" s="127"/>
      <c r="P54" s="122"/>
      <c r="Q54" s="122"/>
      <c r="R54" s="122"/>
      <c r="S54" s="122"/>
      <c r="T54" s="122"/>
      <c r="U54" s="122"/>
      <c r="V54" s="122"/>
      <c r="W54" s="68"/>
    </row>
    <row r="55" spans="2:23" ht="15.75" x14ac:dyDescent="0.25">
      <c r="B55" s="122"/>
      <c r="C55" s="122"/>
      <c r="D55" s="123"/>
      <c r="E55" s="123"/>
      <c r="F55" s="129"/>
      <c r="G55" s="129"/>
      <c r="H55" s="122"/>
      <c r="I55" s="122"/>
      <c r="J55" s="122"/>
      <c r="K55" s="122"/>
      <c r="L55" s="122"/>
      <c r="M55" s="122"/>
      <c r="N55" s="122"/>
      <c r="O55" s="127"/>
      <c r="P55" s="122"/>
      <c r="Q55" s="122"/>
      <c r="R55" s="122"/>
      <c r="S55" s="122"/>
      <c r="T55" s="122"/>
      <c r="U55" s="122"/>
      <c r="V55" s="122"/>
      <c r="W55" s="68"/>
    </row>
    <row r="56" spans="2:23" ht="15.75" x14ac:dyDescent="0.25">
      <c r="B56" s="122"/>
      <c r="C56" s="122"/>
      <c r="D56" s="123"/>
      <c r="E56" s="123"/>
      <c r="F56" s="129"/>
      <c r="G56" s="129"/>
      <c r="H56" s="122"/>
      <c r="I56" s="122"/>
      <c r="J56" s="122"/>
      <c r="K56" s="122"/>
      <c r="L56" s="122"/>
      <c r="M56" s="122"/>
      <c r="N56" s="122"/>
      <c r="O56" s="127"/>
      <c r="P56" s="122"/>
      <c r="Q56" s="122"/>
      <c r="R56" s="122"/>
      <c r="S56" s="122"/>
      <c r="T56" s="122"/>
      <c r="U56" s="122"/>
      <c r="V56" s="122"/>
      <c r="W56" s="68"/>
    </row>
    <row r="57" spans="2:23" ht="15.75" x14ac:dyDescent="0.25">
      <c r="B57" s="122"/>
      <c r="C57" s="122"/>
      <c r="D57" s="123"/>
      <c r="E57" s="123"/>
      <c r="F57" s="129"/>
      <c r="G57" s="129"/>
      <c r="H57" s="122"/>
      <c r="I57" s="122"/>
      <c r="J57" s="122"/>
      <c r="K57" s="122"/>
      <c r="L57" s="122"/>
      <c r="M57" s="122"/>
      <c r="N57" s="122"/>
      <c r="O57" s="127"/>
      <c r="P57" s="122"/>
      <c r="Q57" s="122"/>
      <c r="R57" s="122"/>
      <c r="S57" s="122"/>
      <c r="T57" s="122"/>
      <c r="U57" s="122"/>
      <c r="V57" s="122"/>
      <c r="W57" s="68"/>
    </row>
    <row r="58" spans="2:23" ht="15.75" x14ac:dyDescent="0.25">
      <c r="B58" s="122"/>
      <c r="C58" s="122"/>
      <c r="D58" s="123"/>
      <c r="E58" s="123"/>
      <c r="F58" s="129"/>
      <c r="G58" s="129"/>
      <c r="H58" s="122"/>
      <c r="I58" s="122"/>
      <c r="J58" s="122"/>
      <c r="K58" s="122"/>
      <c r="L58" s="122"/>
      <c r="M58" s="122"/>
      <c r="N58" s="122"/>
      <c r="O58" s="127"/>
      <c r="P58" s="122"/>
      <c r="Q58" s="122"/>
      <c r="R58" s="122"/>
      <c r="S58" s="122"/>
      <c r="T58" s="122"/>
      <c r="U58" s="122"/>
      <c r="V58" s="122"/>
      <c r="W58" s="68"/>
    </row>
    <row r="59" spans="2:23" x14ac:dyDescent="0.25">
      <c r="B59" s="122"/>
      <c r="C59" s="122"/>
      <c r="D59" s="123"/>
      <c r="E59" s="123"/>
      <c r="F59" s="129"/>
      <c r="G59" s="129"/>
      <c r="H59" s="122"/>
      <c r="I59" s="122"/>
      <c r="J59" s="122"/>
      <c r="K59" s="122"/>
      <c r="L59" s="122"/>
      <c r="M59" s="122"/>
      <c r="N59" s="122"/>
      <c r="O59" s="122"/>
      <c r="P59" s="122"/>
      <c r="Q59" s="122"/>
      <c r="R59" s="122"/>
      <c r="S59" s="122"/>
      <c r="T59" s="122"/>
      <c r="U59" s="122"/>
      <c r="V59" s="122"/>
      <c r="W59" s="68"/>
    </row>
    <row r="60" spans="2:23" x14ac:dyDescent="0.25">
      <c r="B60" s="122"/>
      <c r="C60" s="122"/>
      <c r="D60" s="123"/>
      <c r="E60" s="123"/>
      <c r="F60" s="129"/>
      <c r="G60" s="129"/>
      <c r="H60" s="122"/>
      <c r="I60" s="122"/>
      <c r="J60" s="122"/>
      <c r="K60" s="122"/>
      <c r="L60" s="122"/>
      <c r="M60" s="122"/>
      <c r="N60" s="122"/>
      <c r="O60" s="122"/>
      <c r="P60" s="122"/>
      <c r="Q60" s="122"/>
      <c r="R60" s="122"/>
      <c r="S60" s="122"/>
      <c r="T60" s="122"/>
      <c r="U60" s="122"/>
      <c r="V60" s="122"/>
      <c r="W60" s="68"/>
    </row>
    <row r="61" spans="2:23" x14ac:dyDescent="0.25">
      <c r="B61" s="68"/>
      <c r="C61" s="68"/>
      <c r="D61" s="68"/>
      <c r="E61" s="68"/>
      <c r="F61" s="68"/>
      <c r="G61" s="68"/>
      <c r="H61" s="68"/>
      <c r="I61" s="68"/>
      <c r="J61" s="68"/>
      <c r="K61" s="68"/>
      <c r="L61" s="68"/>
      <c r="M61" s="68"/>
      <c r="N61" s="68"/>
      <c r="O61" s="68"/>
      <c r="P61" s="68"/>
      <c r="Q61" s="68"/>
      <c r="R61" s="68"/>
      <c r="S61" s="68"/>
      <c r="T61" s="68"/>
      <c r="U61" s="68"/>
      <c r="V61" s="68"/>
      <c r="W61" s="68"/>
    </row>
    <row r="62" spans="2:23" x14ac:dyDescent="0.25">
      <c r="B62" s="68"/>
      <c r="C62" s="68"/>
      <c r="D62" s="68"/>
      <c r="E62" s="68"/>
      <c r="F62" s="68"/>
      <c r="G62" s="68"/>
      <c r="H62" s="68"/>
      <c r="I62" s="68"/>
      <c r="J62" s="68"/>
      <c r="K62" s="68"/>
      <c r="L62" s="68"/>
      <c r="M62" s="68"/>
      <c r="N62" s="68"/>
      <c r="O62" s="68"/>
      <c r="P62" s="68"/>
      <c r="Q62" s="68"/>
      <c r="R62" s="68"/>
      <c r="S62" s="68"/>
      <c r="T62" s="68"/>
      <c r="U62" s="68"/>
      <c r="V62" s="68"/>
      <c r="W62" s="68"/>
    </row>
    <row r="63" spans="2:23" x14ac:dyDescent="0.25">
      <c r="H63" s="68"/>
      <c r="I63" s="68"/>
      <c r="J63" s="68"/>
      <c r="K63" s="68"/>
      <c r="L63" s="68"/>
      <c r="M63" s="68"/>
      <c r="N63" s="68"/>
      <c r="O63" s="68"/>
      <c r="P63" s="68"/>
      <c r="Q63" s="68"/>
      <c r="R63" s="68"/>
      <c r="S63" s="68"/>
      <c r="T63" s="68"/>
      <c r="U63" s="68"/>
      <c r="V63" s="68"/>
      <c r="W63" s="68"/>
    </row>
    <row r="64" spans="2:23" x14ac:dyDescent="0.25">
      <c r="H64" s="68"/>
      <c r="I64" s="68"/>
      <c r="J64" s="68"/>
      <c r="K64" s="68"/>
      <c r="L64" s="68"/>
      <c r="M64" s="68"/>
      <c r="N64" s="68"/>
      <c r="O64" s="68"/>
      <c r="P64" s="68"/>
      <c r="Q64" s="68"/>
      <c r="R64" s="68"/>
      <c r="S64" s="68"/>
      <c r="T64" s="68"/>
      <c r="U64" s="68"/>
      <c r="V64" s="68"/>
      <c r="W64" s="68"/>
    </row>
    <row r="65" spans="8:23" x14ac:dyDescent="0.25">
      <c r="H65" s="68"/>
      <c r="I65" s="68"/>
      <c r="J65" s="68"/>
      <c r="K65" s="68"/>
      <c r="L65" s="68"/>
      <c r="M65" s="68"/>
      <c r="N65" s="68"/>
      <c r="O65" s="68"/>
      <c r="P65" s="68"/>
      <c r="Q65" s="68"/>
      <c r="R65" s="68"/>
      <c r="S65" s="68"/>
      <c r="T65" s="68"/>
      <c r="U65" s="68"/>
      <c r="V65" s="68"/>
      <c r="W65" s="68"/>
    </row>
    <row r="66" spans="8:23" x14ac:dyDescent="0.25">
      <c r="H66" s="68"/>
      <c r="I66" s="68"/>
      <c r="J66" s="68"/>
      <c r="K66" s="68"/>
      <c r="L66" s="68"/>
      <c r="M66" s="68"/>
      <c r="N66" s="68"/>
      <c r="O66" s="68"/>
      <c r="P66" s="68"/>
      <c r="Q66" s="68"/>
      <c r="R66" s="68"/>
      <c r="S66" s="68"/>
      <c r="T66" s="68"/>
      <c r="U66" s="68"/>
      <c r="V66" s="68"/>
      <c r="W66" s="68"/>
    </row>
    <row r="67" spans="8:23" x14ac:dyDescent="0.25">
      <c r="H67" s="68"/>
      <c r="I67" s="68"/>
      <c r="J67" s="68"/>
      <c r="K67" s="68"/>
      <c r="L67" s="68"/>
      <c r="M67" s="68"/>
      <c r="N67" s="68"/>
      <c r="O67" s="68"/>
      <c r="P67" s="68"/>
      <c r="Q67" s="68"/>
      <c r="R67" s="68"/>
      <c r="S67" s="68"/>
      <c r="T67" s="68"/>
      <c r="U67" s="68"/>
      <c r="V67" s="68"/>
      <c r="W67" s="68"/>
    </row>
    <row r="68" spans="8:23" x14ac:dyDescent="0.25">
      <c r="H68" s="68"/>
      <c r="I68" s="68"/>
      <c r="J68" s="68"/>
      <c r="K68" s="68"/>
      <c r="L68" s="68"/>
      <c r="M68" s="68"/>
      <c r="N68" s="68"/>
      <c r="O68" s="68"/>
      <c r="P68" s="68"/>
      <c r="Q68" s="68"/>
      <c r="R68" s="68"/>
      <c r="S68" s="68"/>
      <c r="T68" s="68"/>
      <c r="U68" s="68"/>
      <c r="V68" s="68"/>
      <c r="W68" s="68"/>
    </row>
    <row r="69" spans="8:23" x14ac:dyDescent="0.25">
      <c r="H69" s="68"/>
      <c r="I69" s="68"/>
      <c r="J69" s="68"/>
      <c r="K69" s="68"/>
      <c r="L69" s="68"/>
      <c r="M69" s="68"/>
      <c r="N69" s="68"/>
      <c r="O69" s="68"/>
      <c r="P69" s="68"/>
      <c r="Q69" s="68"/>
      <c r="R69" s="68"/>
      <c r="S69" s="68"/>
      <c r="T69" s="68"/>
      <c r="U69" s="68"/>
      <c r="V69" s="68"/>
      <c r="W69" s="68"/>
    </row>
    <row r="70" spans="8:23" x14ac:dyDescent="0.25">
      <c r="H70" s="68"/>
      <c r="I70" s="68"/>
      <c r="J70" s="68"/>
      <c r="K70" s="68"/>
      <c r="L70" s="68"/>
      <c r="M70" s="68"/>
      <c r="N70" s="68"/>
      <c r="O70" s="68"/>
      <c r="P70" s="68"/>
      <c r="Q70" s="68"/>
      <c r="R70" s="68"/>
      <c r="S70" s="68"/>
      <c r="T70" s="68"/>
      <c r="U70" s="68"/>
      <c r="V70" s="68"/>
      <c r="W70" s="68"/>
    </row>
    <row r="71" spans="8:23" x14ac:dyDescent="0.25">
      <c r="H71" s="68"/>
      <c r="I71" s="68"/>
      <c r="J71" s="68"/>
      <c r="K71" s="68"/>
      <c r="L71" s="68"/>
      <c r="M71" s="68"/>
      <c r="N71" s="68"/>
      <c r="O71" s="68"/>
      <c r="P71" s="68"/>
      <c r="Q71" s="68"/>
      <c r="R71" s="68"/>
      <c r="S71" s="68"/>
      <c r="T71" s="68"/>
      <c r="U71" s="68"/>
      <c r="V71" s="68"/>
      <c r="W71" s="68"/>
    </row>
  </sheetData>
  <mergeCells count="1">
    <mergeCell ref="I7:W7"/>
  </mergeCells>
  <phoneticPr fontId="57" type="noConversion"/>
  <pageMargins left="0.7" right="0.7" top="0.75" bottom="0.75" header="0.3" footer="0.3"/>
  <pageSetup scale="41" orientation="landscape" r:id="rId1"/>
  <headerFooter>
    <oddHeader>&amp;C&amp;A&amp;R&amp;A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O20"/>
  <sheetViews>
    <sheetView view="pageBreakPreview" zoomScale="90" zoomScaleNormal="85" zoomScaleSheetLayoutView="90" workbookViewId="0">
      <selection activeCell="D12" sqref="D12"/>
    </sheetView>
  </sheetViews>
  <sheetFormatPr defaultRowHeight="15" x14ac:dyDescent="0.25"/>
  <cols>
    <col min="1" max="1" width="4.85546875" customWidth="1"/>
    <col min="2" max="2" width="9.28515625" customWidth="1"/>
    <col min="3" max="3" width="32.42578125" customWidth="1"/>
    <col min="4" max="4" width="23.85546875" bestFit="1" customWidth="1"/>
    <col min="5" max="5" width="12.28515625" customWidth="1"/>
    <col min="6" max="6" width="16" bestFit="1" customWidth="1"/>
    <col min="7" max="7" width="17" bestFit="1" customWidth="1"/>
    <col min="10" max="10" width="22" bestFit="1" customWidth="1"/>
    <col min="11" max="11" width="11.5703125" bestFit="1" customWidth="1"/>
    <col min="12" max="12" width="13.28515625" customWidth="1"/>
    <col min="13" max="13" width="11.5703125" bestFit="1" customWidth="1"/>
  </cols>
  <sheetData>
    <row r="2" spans="2:15" x14ac:dyDescent="0.25">
      <c r="J2" s="195"/>
    </row>
    <row r="3" spans="2:15" ht="15.75" x14ac:dyDescent="0.25">
      <c r="B3" s="196" t="s">
        <v>185</v>
      </c>
      <c r="J3" s="195"/>
    </row>
    <row r="4" spans="2:15" x14ac:dyDescent="0.25">
      <c r="B4" s="197"/>
      <c r="C4" s="198"/>
      <c r="D4" s="198"/>
      <c r="E4" s="199"/>
    </row>
    <row r="5" spans="2:15" ht="15.75" x14ac:dyDescent="0.25">
      <c r="B5" s="200" t="s">
        <v>186</v>
      </c>
      <c r="C5" s="201"/>
      <c r="D5" s="202"/>
      <c r="E5" s="203"/>
      <c r="F5" s="31"/>
      <c r="G5" s="31"/>
    </row>
    <row r="6" spans="2:15" x14ac:dyDescent="0.25">
      <c r="B6" s="204"/>
      <c r="C6" s="68"/>
      <c r="D6" s="202"/>
      <c r="E6" s="203"/>
      <c r="F6" s="31"/>
      <c r="G6" s="31"/>
    </row>
    <row r="7" spans="2:15" x14ac:dyDescent="0.25">
      <c r="B7" s="204"/>
      <c r="C7" s="68"/>
      <c r="D7" s="202" t="s">
        <v>187</v>
      </c>
      <c r="E7" s="203"/>
      <c r="F7" s="31"/>
      <c r="G7" s="31"/>
    </row>
    <row r="8" spans="2:15" ht="18" x14ac:dyDescent="0.35">
      <c r="B8" s="204"/>
      <c r="C8" s="68"/>
      <c r="D8" s="92" t="s">
        <v>188</v>
      </c>
      <c r="E8" s="205"/>
      <c r="F8" s="206"/>
      <c r="G8" s="206"/>
      <c r="H8" s="207"/>
      <c r="I8" s="207"/>
      <c r="J8" s="207"/>
      <c r="K8" s="208"/>
      <c r="L8" s="207"/>
      <c r="M8" s="207"/>
      <c r="N8" s="207"/>
      <c r="O8" s="207"/>
    </row>
    <row r="9" spans="2:15" x14ac:dyDescent="0.25">
      <c r="B9" s="209" t="s">
        <v>189</v>
      </c>
      <c r="C9" s="68"/>
      <c r="D9" s="369"/>
      <c r="E9" s="210"/>
      <c r="H9" s="207"/>
      <c r="I9" s="207"/>
      <c r="J9" s="207"/>
      <c r="K9" s="211"/>
      <c r="L9" s="212"/>
      <c r="M9" s="213"/>
      <c r="N9" s="207"/>
      <c r="O9" s="207"/>
    </row>
    <row r="10" spans="2:15" x14ac:dyDescent="0.25">
      <c r="B10" s="209"/>
      <c r="C10" s="68" t="s">
        <v>190</v>
      </c>
      <c r="D10" s="369">
        <f>'Carbon-Scope 1'!G10</f>
        <v>0</v>
      </c>
      <c r="E10" s="214"/>
      <c r="F10" s="215"/>
      <c r="G10" s="215"/>
      <c r="H10" s="207"/>
      <c r="I10" s="207"/>
      <c r="J10" s="216"/>
      <c r="K10" s="217"/>
      <c r="L10" s="217"/>
      <c r="M10" s="218"/>
      <c r="N10" s="207"/>
      <c r="O10" s="207"/>
    </row>
    <row r="11" spans="2:15" x14ac:dyDescent="0.25">
      <c r="B11" s="209"/>
      <c r="C11" s="68" t="s">
        <v>191</v>
      </c>
      <c r="D11" s="369"/>
      <c r="E11" s="214"/>
      <c r="F11" s="215"/>
      <c r="G11" s="215"/>
      <c r="H11" s="207"/>
      <c r="I11" s="207"/>
      <c r="J11" s="207"/>
      <c r="K11" s="217"/>
      <c r="L11" s="217"/>
      <c r="M11" s="218"/>
      <c r="N11" s="207"/>
      <c r="O11" s="207"/>
    </row>
    <row r="12" spans="2:15" x14ac:dyDescent="0.25">
      <c r="B12" s="209"/>
      <c r="C12" s="68" t="s">
        <v>192</v>
      </c>
      <c r="D12" s="369">
        <f>'Carbon-Scope 1'!I21</f>
        <v>4.9424999999999997E-2</v>
      </c>
      <c r="E12" s="368"/>
      <c r="F12" s="215"/>
      <c r="G12" s="215"/>
      <c r="H12" s="207"/>
      <c r="I12" s="207"/>
      <c r="J12" s="216"/>
      <c r="K12" s="217"/>
      <c r="L12" s="217"/>
      <c r="M12" s="218"/>
      <c r="N12" s="207"/>
      <c r="O12" s="207"/>
    </row>
    <row r="13" spans="2:15" x14ac:dyDescent="0.25">
      <c r="B13" s="209"/>
      <c r="C13" s="68" t="s">
        <v>193</v>
      </c>
      <c r="D13" s="369">
        <f>'Carbon-Scope 1'!I27</f>
        <v>0</v>
      </c>
      <c r="E13" s="368"/>
      <c r="F13" s="215"/>
      <c r="G13" s="215"/>
      <c r="H13" s="207"/>
      <c r="I13" s="207"/>
      <c r="J13" s="216"/>
      <c r="K13" s="217"/>
      <c r="L13" s="217"/>
      <c r="M13" s="218"/>
      <c r="N13" s="207"/>
      <c r="O13" s="207"/>
    </row>
    <row r="14" spans="2:15" x14ac:dyDescent="0.25">
      <c r="B14" s="209"/>
      <c r="C14" s="68" t="s">
        <v>194</v>
      </c>
      <c r="D14" s="369"/>
      <c r="E14" s="368"/>
      <c r="F14" s="215"/>
      <c r="G14" s="215"/>
      <c r="H14" s="207"/>
      <c r="I14" s="207"/>
      <c r="J14" s="207"/>
      <c r="K14" s="217"/>
      <c r="L14" s="217"/>
      <c r="M14" s="218"/>
      <c r="N14" s="207"/>
      <c r="O14" s="207"/>
    </row>
    <row r="15" spans="2:15" ht="18.75" thickBot="1" x14ac:dyDescent="0.4">
      <c r="B15" s="209"/>
      <c r="C15" s="68" t="s">
        <v>195</v>
      </c>
      <c r="D15" s="369">
        <f>'Carbon-Scope 1'!$G$68</f>
        <v>0.58295952000000006</v>
      </c>
      <c r="E15" s="214"/>
      <c r="F15" s="215"/>
      <c r="G15" s="215"/>
      <c r="H15" s="207"/>
      <c r="I15" s="207"/>
      <c r="J15" s="219"/>
      <c r="K15" s="449"/>
      <c r="L15" s="449"/>
      <c r="M15" s="218"/>
      <c r="N15" s="207"/>
      <c r="O15" s="207"/>
    </row>
    <row r="16" spans="2:15" ht="15.75" thickBot="1" x14ac:dyDescent="0.3">
      <c r="B16" s="220" t="s">
        <v>196</v>
      </c>
      <c r="C16" s="68"/>
      <c r="D16" s="370">
        <f>SUM(D10:D15)</f>
        <v>0.63238452000000001</v>
      </c>
      <c r="E16" s="210"/>
    </row>
    <row r="17" spans="2:15" ht="15.75" thickBot="1" x14ac:dyDescent="0.3">
      <c r="B17" s="209" t="s">
        <v>197</v>
      </c>
      <c r="C17" s="68"/>
      <c r="D17" s="369"/>
      <c r="E17" s="214"/>
      <c r="F17" s="215"/>
      <c r="G17" s="215"/>
      <c r="H17" s="207"/>
      <c r="I17" s="207"/>
      <c r="J17" s="207"/>
      <c r="K17" s="221"/>
      <c r="L17" s="221"/>
      <c r="M17" s="222"/>
      <c r="N17" s="207"/>
      <c r="O17" s="207"/>
    </row>
    <row r="18" spans="2:15" ht="15.75" thickBot="1" x14ac:dyDescent="0.3">
      <c r="B18" s="209"/>
      <c r="C18" s="68" t="s">
        <v>198</v>
      </c>
      <c r="D18" s="371">
        <f>'Carbon-Scope 2'!F37</f>
        <v>0</v>
      </c>
      <c r="E18" s="214"/>
      <c r="F18" s="215"/>
      <c r="G18" s="215"/>
      <c r="H18" s="207"/>
      <c r="I18" s="207"/>
      <c r="J18" s="207"/>
      <c r="K18" s="221"/>
      <c r="L18" s="221"/>
      <c r="M18" s="222"/>
      <c r="N18" s="207"/>
      <c r="O18" s="207" t="s">
        <v>199</v>
      </c>
    </row>
    <row r="19" spans="2:15" ht="16.5" thickBot="1" x14ac:dyDescent="0.3">
      <c r="B19" s="223" t="s">
        <v>200</v>
      </c>
      <c r="C19" s="68"/>
      <c r="D19" s="372">
        <f>D16+D18</f>
        <v>0.63238452000000001</v>
      </c>
      <c r="E19" s="210"/>
    </row>
    <row r="20" spans="2:15" ht="17.25" customHeight="1" x14ac:dyDescent="0.25">
      <c r="B20" s="224"/>
      <c r="C20" s="225"/>
      <c r="D20" s="226"/>
      <c r="E20" s="227"/>
      <c r="J20" s="228"/>
    </row>
  </sheetData>
  <mergeCells count="1">
    <mergeCell ref="K15:L15"/>
  </mergeCells>
  <phoneticPr fontId="57" type="noConversion"/>
  <printOptions horizontalCentered="1"/>
  <pageMargins left="0.7" right="0.7" top="1.25" bottom="0.5" header="0.25" footer="0.3"/>
  <pageSetup orientation="portrait" r:id="rId1"/>
  <headerFooter scaleWithDoc="0">
    <oddHeader>&amp;C&amp;12
ATTACHMENT D
&amp;"-,Bold"SD1 WWTPs Estimated Existing GHG Emissions</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V69"/>
  <sheetViews>
    <sheetView view="pageBreakPreview" zoomScale="80" zoomScaleNormal="60" zoomScaleSheetLayoutView="80" workbookViewId="0">
      <selection activeCell="G40" sqref="G40"/>
    </sheetView>
  </sheetViews>
  <sheetFormatPr defaultRowHeight="15" x14ac:dyDescent="0.25"/>
  <cols>
    <col min="1" max="1" width="3.7109375" customWidth="1"/>
    <col min="2" max="2" width="16.7109375" style="31" customWidth="1"/>
    <col min="3" max="3" width="21.140625" style="31" customWidth="1"/>
    <col min="4" max="4" width="14.85546875" style="31" bestFit="1" customWidth="1"/>
    <col min="5" max="5" width="15.5703125" style="31" bestFit="1" customWidth="1"/>
    <col min="6" max="6" width="20" style="31" customWidth="1"/>
    <col min="7" max="7" width="16.28515625" style="229" customWidth="1"/>
    <col min="8" max="8" width="16.7109375" customWidth="1"/>
    <col min="9" max="9" width="10.140625" customWidth="1"/>
    <col min="10" max="10" width="12" bestFit="1" customWidth="1"/>
    <col min="11" max="11" width="24" customWidth="1"/>
    <col min="18" max="19" width="14.85546875" style="31" customWidth="1"/>
    <col min="26" max="26" width="18.7109375" customWidth="1"/>
    <col min="27" max="27" width="20.5703125" customWidth="1"/>
    <col min="28" max="28" width="18.7109375" customWidth="1"/>
    <col min="29" max="29" width="11" customWidth="1"/>
    <col min="30" max="30" width="10.28515625" customWidth="1"/>
  </cols>
  <sheetData>
    <row r="2" spans="2:17" x14ac:dyDescent="0.25">
      <c r="B2" s="229" t="s">
        <v>185</v>
      </c>
      <c r="C2" s="31">
        <f>'Carbon-Total Emissions'!C3</f>
        <v>0</v>
      </c>
    </row>
    <row r="3" spans="2:17" x14ac:dyDescent="0.25">
      <c r="P3" s="230"/>
      <c r="Q3" s="231"/>
    </row>
    <row r="4" spans="2:17" ht="15.75" thickBot="1" x14ac:dyDescent="0.3">
      <c r="B4" s="232" t="s">
        <v>201</v>
      </c>
    </row>
    <row r="5" spans="2:17" ht="18.75" thickTop="1" x14ac:dyDescent="0.35">
      <c r="B5" s="233" t="s">
        <v>202</v>
      </c>
      <c r="C5" s="234"/>
      <c r="D5" s="234"/>
      <c r="E5" s="234" t="s">
        <v>203</v>
      </c>
      <c r="F5" s="234" t="s">
        <v>204</v>
      </c>
      <c r="G5" s="235"/>
      <c r="I5" s="236"/>
      <c r="J5" t="s">
        <v>205</v>
      </c>
    </row>
    <row r="6" spans="2:17" ht="18" x14ac:dyDescent="0.35">
      <c r="B6" s="237" t="s">
        <v>206</v>
      </c>
      <c r="C6" s="92" t="s">
        <v>207</v>
      </c>
      <c r="D6" s="92" t="s">
        <v>208</v>
      </c>
      <c r="E6" s="92" t="s">
        <v>209</v>
      </c>
      <c r="F6" s="92" t="s">
        <v>210</v>
      </c>
      <c r="G6" s="238" t="s">
        <v>211</v>
      </c>
    </row>
    <row r="7" spans="2:17" x14ac:dyDescent="0.25">
      <c r="B7" s="237"/>
      <c r="C7" s="92"/>
      <c r="D7" s="92"/>
      <c r="E7" s="92"/>
      <c r="F7" s="92"/>
      <c r="G7" s="238"/>
    </row>
    <row r="8" spans="2:17" x14ac:dyDescent="0.25">
      <c r="B8" s="239">
        <v>2010</v>
      </c>
      <c r="C8" s="92" t="s">
        <v>212</v>
      </c>
      <c r="D8" s="92" t="s">
        <v>213</v>
      </c>
      <c r="E8" s="239">
        <v>0</v>
      </c>
      <c r="F8" s="92">
        <f>'Carbon-GHG Background Assumed'!B13</f>
        <v>1.0149999999999999E-2</v>
      </c>
      <c r="G8" s="240">
        <f>E8*F8</f>
        <v>0</v>
      </c>
    </row>
    <row r="9" spans="2:17" x14ac:dyDescent="0.25">
      <c r="B9" s="237"/>
      <c r="C9" s="92"/>
      <c r="D9" s="92"/>
      <c r="E9" s="92"/>
      <c r="F9" s="92"/>
      <c r="G9" s="240"/>
    </row>
    <row r="10" spans="2:17" ht="18.75" thickBot="1" x14ac:dyDescent="0.4">
      <c r="B10" s="241"/>
      <c r="C10" s="242"/>
      <c r="D10" s="242"/>
      <c r="E10" s="242"/>
      <c r="F10" s="243" t="s">
        <v>214</v>
      </c>
      <c r="G10" s="244">
        <f>SUM(G8:G8)</f>
        <v>0</v>
      </c>
    </row>
    <row r="11" spans="2:17" ht="15.75" thickTop="1" x14ac:dyDescent="0.25">
      <c r="B11" s="232"/>
    </row>
    <row r="13" spans="2:17" x14ac:dyDescent="0.25">
      <c r="B13" s="232" t="s">
        <v>215</v>
      </c>
    </row>
    <row r="14" spans="2:17" x14ac:dyDescent="0.25">
      <c r="B14" s="232"/>
    </row>
    <row r="15" spans="2:17" ht="15.75" thickBot="1" x14ac:dyDescent="0.3">
      <c r="B15" s="232" t="s">
        <v>216</v>
      </c>
      <c r="C15" s="232"/>
    </row>
    <row r="16" spans="2:17" ht="18.75" thickTop="1" x14ac:dyDescent="0.35">
      <c r="B16" s="245" t="s">
        <v>202</v>
      </c>
      <c r="C16" s="246"/>
      <c r="D16" s="246" t="s">
        <v>217</v>
      </c>
      <c r="E16" s="246"/>
      <c r="F16" s="246"/>
      <c r="G16" s="246" t="s">
        <v>218</v>
      </c>
      <c r="H16" s="246" t="s">
        <v>204</v>
      </c>
      <c r="I16" s="247"/>
      <c r="Q16" s="92"/>
    </row>
    <row r="17" spans="2:22" ht="18" x14ac:dyDescent="0.35">
      <c r="B17" s="248" t="s">
        <v>206</v>
      </c>
      <c r="C17" s="249" t="s">
        <v>219</v>
      </c>
      <c r="D17" s="249" t="s">
        <v>220</v>
      </c>
      <c r="E17" s="249" t="s">
        <v>202</v>
      </c>
      <c r="F17" s="249" t="s">
        <v>221</v>
      </c>
      <c r="G17" s="249" t="s">
        <v>222</v>
      </c>
      <c r="H17" s="249" t="s">
        <v>223</v>
      </c>
      <c r="I17" s="250" t="s">
        <v>224</v>
      </c>
      <c r="Q17" s="92"/>
      <c r="R17" s="251"/>
      <c r="S17" s="251"/>
      <c r="T17" s="31"/>
    </row>
    <row r="18" spans="2:22" x14ac:dyDescent="0.25">
      <c r="B18" s="252"/>
      <c r="C18" s="239" t="s">
        <v>225</v>
      </c>
      <c r="D18" s="239"/>
      <c r="E18" s="239">
        <v>1995</v>
      </c>
      <c r="F18" s="239" t="s">
        <v>226</v>
      </c>
      <c r="G18" s="253"/>
      <c r="H18" s="239">
        <f>'Carbon-GHG Background Assumed'!$B$23</f>
        <v>5.4600000000000004E-4</v>
      </c>
      <c r="I18" s="254">
        <f>G18*H18</f>
        <v>0</v>
      </c>
      <c r="L18" s="255"/>
      <c r="R18" s="215"/>
      <c r="S18" s="215"/>
      <c r="T18" s="255"/>
    </row>
    <row r="19" spans="2:22" x14ac:dyDescent="0.25">
      <c r="B19" s="252"/>
      <c r="C19" s="239" t="s">
        <v>227</v>
      </c>
      <c r="D19" s="239"/>
      <c r="E19" s="239">
        <v>1996</v>
      </c>
      <c r="F19" s="239" t="s">
        <v>228</v>
      </c>
      <c r="G19" s="253">
        <v>25</v>
      </c>
      <c r="H19" s="239">
        <f>'Carbon-GHG Background Assumed'!$B$27</f>
        <v>1.464E-3</v>
      </c>
      <c r="I19" s="254">
        <f>G19*H19</f>
        <v>3.6600000000000001E-2</v>
      </c>
      <c r="L19" s="255"/>
      <c r="R19" s="215"/>
      <c r="S19" s="215"/>
      <c r="T19" s="255"/>
    </row>
    <row r="20" spans="2:22" ht="15.75" thickBot="1" x14ac:dyDescent="0.3">
      <c r="B20" s="256"/>
      <c r="C20" s="257" t="s">
        <v>225</v>
      </c>
      <c r="D20" s="257"/>
      <c r="E20" s="257">
        <v>2007</v>
      </c>
      <c r="F20" s="257" t="s">
        <v>226</v>
      </c>
      <c r="G20" s="258">
        <v>25</v>
      </c>
      <c r="H20" s="257">
        <f>'Carbon-GHG Background Assumed'!$B$15</f>
        <v>5.13E-4</v>
      </c>
      <c r="I20" s="259">
        <f>G20*H20</f>
        <v>1.2825E-2</v>
      </c>
      <c r="L20" s="255"/>
      <c r="R20" s="215"/>
      <c r="S20" s="215"/>
      <c r="T20" s="255"/>
    </row>
    <row r="21" spans="2:22" ht="24.75" customHeight="1" thickTop="1" thickBot="1" x14ac:dyDescent="0.4">
      <c r="B21" s="92"/>
      <c r="C21" s="92"/>
      <c r="D21" s="92"/>
      <c r="E21" s="92"/>
      <c r="F21" s="92"/>
      <c r="G21" s="260"/>
      <c r="H21" s="261" t="s">
        <v>229</v>
      </c>
      <c r="I21" s="262">
        <f>SUM(I18:I20)</f>
        <v>4.9424999999999997E-2</v>
      </c>
      <c r="L21" s="255"/>
      <c r="R21" s="215"/>
      <c r="S21" s="215"/>
      <c r="T21" s="255"/>
    </row>
    <row r="22" spans="2:22" s="53" customFormat="1" ht="15.75" thickTop="1" x14ac:dyDescent="0.25">
      <c r="B22"/>
      <c r="C22"/>
      <c r="D22" s="263"/>
      <c r="E22" s="263"/>
      <c r="F22" s="263"/>
      <c r="G22" s="264"/>
      <c r="H22" s="263"/>
      <c r="I22" s="265"/>
      <c r="L22" s="266"/>
      <c r="R22" s="267"/>
      <c r="S22" s="267"/>
      <c r="T22" s="266"/>
    </row>
    <row r="23" spans="2:22" ht="15.75" thickBot="1" x14ac:dyDescent="0.3">
      <c r="B23" s="232" t="s">
        <v>230</v>
      </c>
      <c r="C23" s="232"/>
    </row>
    <row r="24" spans="2:22" ht="18.75" thickTop="1" x14ac:dyDescent="0.35">
      <c r="B24" s="245" t="s">
        <v>202</v>
      </c>
      <c r="C24" s="246"/>
      <c r="D24" s="246" t="s">
        <v>217</v>
      </c>
      <c r="E24" s="246"/>
      <c r="F24" s="246"/>
      <c r="G24" s="246" t="s">
        <v>218</v>
      </c>
      <c r="H24" s="246" t="s">
        <v>204</v>
      </c>
      <c r="I24" s="247"/>
      <c r="Q24" s="92"/>
    </row>
    <row r="25" spans="2:22" ht="18" x14ac:dyDescent="0.35">
      <c r="B25" s="248" t="s">
        <v>206</v>
      </c>
      <c r="C25" s="249" t="s">
        <v>219</v>
      </c>
      <c r="D25" s="249" t="s">
        <v>220</v>
      </c>
      <c r="E25" s="249" t="s">
        <v>202</v>
      </c>
      <c r="F25" s="249" t="s">
        <v>221</v>
      </c>
      <c r="G25" s="249" t="s">
        <v>222</v>
      </c>
      <c r="H25" s="249" t="s">
        <v>223</v>
      </c>
      <c r="I25" s="250" t="s">
        <v>224</v>
      </c>
      <c r="Q25" s="92"/>
      <c r="R25" s="251"/>
      <c r="S25" s="251"/>
      <c r="T25" s="31"/>
    </row>
    <row r="26" spans="2:22" ht="15.75" thickBot="1" x14ac:dyDescent="0.3">
      <c r="B26" s="256"/>
      <c r="C26" s="257" t="s">
        <v>227</v>
      </c>
      <c r="D26" s="257"/>
      <c r="E26" s="257">
        <v>2007</v>
      </c>
      <c r="F26" s="257" t="s">
        <v>231</v>
      </c>
      <c r="G26" s="258">
        <v>0</v>
      </c>
      <c r="H26" s="257">
        <f>'Carbon-GHG Background Assumed'!B27</f>
        <v>1.464E-3</v>
      </c>
      <c r="I26" s="259">
        <f>G26*H26</f>
        <v>0</v>
      </c>
      <c r="L26" s="255"/>
      <c r="R26" s="215"/>
      <c r="S26" s="215"/>
      <c r="T26" s="255"/>
    </row>
    <row r="27" spans="2:22" ht="24.75" customHeight="1" thickTop="1" thickBot="1" x14ac:dyDescent="0.4">
      <c r="B27" s="92"/>
      <c r="C27" s="92"/>
      <c r="D27" s="92"/>
      <c r="E27" s="92"/>
      <c r="F27" s="92"/>
      <c r="G27" s="260"/>
      <c r="H27" s="261" t="s">
        <v>229</v>
      </c>
      <c r="I27" s="262">
        <f>SUM(I26:I26)</f>
        <v>0</v>
      </c>
      <c r="L27" s="255"/>
      <c r="R27" s="215"/>
      <c r="S27" s="215"/>
      <c r="T27" s="255"/>
    </row>
    <row r="28" spans="2:22" ht="15.75" thickTop="1" x14ac:dyDescent="0.25">
      <c r="E28" s="92"/>
    </row>
    <row r="29" spans="2:22" ht="20.25" x14ac:dyDescent="0.25">
      <c r="B29" s="268" t="s">
        <v>232</v>
      </c>
      <c r="C29" s="269"/>
      <c r="D29" s="269"/>
      <c r="E29" s="269"/>
      <c r="F29" s="269"/>
      <c r="G29" s="270"/>
      <c r="H29" s="271"/>
      <c r="I29" s="272"/>
      <c r="J29" s="272"/>
      <c r="K29" s="272"/>
      <c r="L29" s="68"/>
      <c r="M29" s="68"/>
      <c r="N29" s="68"/>
      <c r="O29" s="68"/>
      <c r="P29" s="68"/>
      <c r="Q29" s="68"/>
      <c r="R29" s="92"/>
      <c r="S29" s="92"/>
      <c r="T29" s="68"/>
      <c r="U29" s="68"/>
      <c r="V29" s="68"/>
    </row>
    <row r="30" spans="2:22" x14ac:dyDescent="0.25">
      <c r="B30" s="273"/>
      <c r="C30" s="269"/>
      <c r="D30" s="269"/>
      <c r="E30" s="269"/>
      <c r="F30" s="269"/>
      <c r="G30" s="270"/>
      <c r="H30" s="271"/>
      <c r="I30" s="272"/>
      <c r="J30" s="272"/>
      <c r="K30" s="272"/>
      <c r="L30" s="68"/>
      <c r="M30" s="68"/>
      <c r="N30" s="68"/>
      <c r="O30" s="68"/>
      <c r="P30" s="68"/>
      <c r="Q30" s="68"/>
      <c r="R30" s="92"/>
      <c r="S30" s="92"/>
      <c r="T30" s="68"/>
      <c r="U30" s="68"/>
      <c r="V30" s="68"/>
    </row>
    <row r="31" spans="2:22" ht="49.5" customHeight="1" x14ac:dyDescent="0.25">
      <c r="B31" s="274" t="s">
        <v>233</v>
      </c>
      <c r="C31" s="269"/>
      <c r="D31" s="269"/>
      <c r="E31" s="269"/>
      <c r="F31" s="269"/>
      <c r="G31" s="270"/>
      <c r="H31" s="450" t="s">
        <v>234</v>
      </c>
      <c r="I31" s="450"/>
      <c r="J31" s="450"/>
      <c r="K31" s="450"/>
      <c r="L31" s="68"/>
      <c r="M31" s="68"/>
      <c r="N31" s="68"/>
      <c r="O31" s="68"/>
      <c r="P31" s="68"/>
      <c r="Q31" s="68"/>
      <c r="R31" s="92"/>
      <c r="S31" s="92"/>
      <c r="T31" s="68"/>
      <c r="U31" s="68"/>
      <c r="V31" s="68"/>
    </row>
    <row r="32" spans="2:22" x14ac:dyDescent="0.25">
      <c r="B32" s="275" t="s">
        <v>235</v>
      </c>
      <c r="D32" s="269"/>
      <c r="E32" s="269"/>
      <c r="F32" s="269"/>
      <c r="G32" s="270"/>
      <c r="H32" s="276"/>
      <c r="I32" s="276"/>
      <c r="J32" s="276"/>
      <c r="K32" s="276"/>
      <c r="L32" s="68"/>
      <c r="M32" s="68"/>
      <c r="N32" s="68"/>
      <c r="O32" s="68"/>
      <c r="P32" s="68"/>
      <c r="Q32" s="68"/>
      <c r="R32" s="92"/>
      <c r="S32" s="92"/>
      <c r="T32" s="68"/>
      <c r="U32" s="68"/>
      <c r="V32" s="68"/>
    </row>
    <row r="33" spans="2:22" ht="18" x14ac:dyDescent="0.25">
      <c r="B33" s="269"/>
      <c r="C33" s="273" t="s">
        <v>236</v>
      </c>
      <c r="D33" s="269"/>
      <c r="E33" s="269"/>
      <c r="F33" s="269"/>
      <c r="G33" s="277">
        <v>0</v>
      </c>
      <c r="H33" s="271" t="s">
        <v>237</v>
      </c>
      <c r="I33" s="272"/>
      <c r="J33" s="272"/>
      <c r="K33" s="278"/>
      <c r="L33" s="68"/>
      <c r="M33" s="68"/>
      <c r="N33" s="68"/>
      <c r="O33" s="68"/>
      <c r="P33" s="68"/>
      <c r="Q33" s="68"/>
      <c r="R33" s="92"/>
      <c r="S33" s="92"/>
      <c r="T33" s="68"/>
      <c r="U33" s="68"/>
      <c r="V33" s="68"/>
    </row>
    <row r="34" spans="2:22" ht="18" x14ac:dyDescent="0.25">
      <c r="B34" s="269"/>
      <c r="C34" s="273" t="s">
        <v>238</v>
      </c>
      <c r="D34" s="269"/>
      <c r="E34" s="269"/>
      <c r="F34" s="269"/>
      <c r="G34" s="270">
        <v>298</v>
      </c>
      <c r="H34" s="271" t="s">
        <v>239</v>
      </c>
      <c r="I34" s="272"/>
      <c r="J34" s="272"/>
      <c r="K34" s="272"/>
      <c r="L34" s="68"/>
      <c r="M34" s="68"/>
      <c r="N34" s="68"/>
      <c r="O34" s="68"/>
      <c r="P34" s="68"/>
      <c r="Q34" s="68"/>
      <c r="R34" s="92"/>
      <c r="S34" s="92"/>
      <c r="T34" s="68"/>
      <c r="U34" s="68"/>
      <c r="V34" s="68"/>
    </row>
    <row r="35" spans="2:22" ht="20.25" x14ac:dyDescent="0.25">
      <c r="B35" s="269"/>
      <c r="C35" s="274" t="s">
        <v>240</v>
      </c>
      <c r="D35" s="269"/>
      <c r="E35" s="269"/>
      <c r="F35" s="279"/>
      <c r="G35" s="280">
        <f>G33/1000*G34</f>
        <v>0</v>
      </c>
      <c r="H35" s="271" t="s">
        <v>224</v>
      </c>
      <c r="I35" s="272"/>
      <c r="J35" s="272"/>
      <c r="K35" s="272"/>
      <c r="L35" s="68"/>
      <c r="M35" s="68"/>
      <c r="N35" s="68"/>
      <c r="O35" s="68"/>
      <c r="P35" s="68"/>
      <c r="Q35" s="68"/>
      <c r="R35" s="92"/>
      <c r="S35" s="92"/>
      <c r="T35" s="68"/>
      <c r="U35" s="68"/>
      <c r="V35" s="68"/>
    </row>
    <row r="36" spans="2:22" x14ac:dyDescent="0.25">
      <c r="B36" s="273"/>
      <c r="C36" s="269"/>
      <c r="D36" s="269"/>
      <c r="E36" s="269"/>
      <c r="F36" s="269"/>
      <c r="G36" s="270"/>
      <c r="H36" s="271"/>
      <c r="I36" s="272"/>
      <c r="J36" s="272"/>
      <c r="K36" s="272"/>
      <c r="L36" s="68"/>
      <c r="M36" s="68"/>
      <c r="N36" s="68"/>
      <c r="O36" s="68"/>
      <c r="P36" s="68"/>
      <c r="Q36" s="68"/>
      <c r="R36" s="92"/>
      <c r="S36" s="92"/>
      <c r="T36" s="68"/>
      <c r="U36" s="68"/>
      <c r="V36" s="68"/>
    </row>
    <row r="37" spans="2:22" x14ac:dyDescent="0.25">
      <c r="B37" s="273"/>
      <c r="C37" s="269"/>
      <c r="D37" s="269"/>
      <c r="E37" s="269"/>
      <c r="F37" s="269"/>
      <c r="G37" s="270"/>
      <c r="H37" s="271"/>
      <c r="I37" s="272"/>
      <c r="J37" s="272"/>
      <c r="K37" s="272"/>
      <c r="L37" s="68"/>
      <c r="M37" s="68"/>
      <c r="N37" s="68"/>
      <c r="O37" s="68"/>
      <c r="P37" s="68"/>
      <c r="Q37" s="68"/>
      <c r="R37" s="92"/>
      <c r="S37" s="92"/>
      <c r="T37" s="68"/>
      <c r="U37" s="68"/>
      <c r="V37" s="68"/>
    </row>
    <row r="38" spans="2:22" ht="26.45" customHeight="1" x14ac:dyDescent="0.25">
      <c r="B38" s="274" t="s">
        <v>241</v>
      </c>
      <c r="C38" s="269"/>
      <c r="D38" s="269"/>
      <c r="E38" s="269"/>
      <c r="F38" s="269"/>
      <c r="G38" s="270"/>
      <c r="H38" s="450" t="s">
        <v>242</v>
      </c>
      <c r="I38" s="450"/>
      <c r="J38" s="450"/>
      <c r="K38" s="450"/>
      <c r="L38" s="68"/>
      <c r="M38" s="68"/>
      <c r="N38" s="68"/>
      <c r="O38" s="68"/>
      <c r="P38" s="68"/>
      <c r="Q38" s="68"/>
      <c r="R38" s="92"/>
      <c r="S38" s="92"/>
      <c r="T38" s="68"/>
      <c r="U38" s="68"/>
      <c r="V38" s="68"/>
    </row>
    <row r="39" spans="2:22" ht="16.899999999999999" customHeight="1" x14ac:dyDescent="0.25">
      <c r="B39" s="274"/>
      <c r="C39" s="269"/>
      <c r="D39" s="269"/>
      <c r="E39" s="269"/>
      <c r="F39" s="269"/>
      <c r="G39" s="270"/>
      <c r="L39" s="68"/>
      <c r="M39" s="68"/>
      <c r="N39" s="68"/>
      <c r="O39" s="68"/>
      <c r="P39" s="68"/>
      <c r="Q39" s="68"/>
      <c r="R39" s="92"/>
      <c r="S39" s="92"/>
      <c r="T39" s="68"/>
      <c r="U39" s="68"/>
      <c r="V39" s="68"/>
    </row>
    <row r="40" spans="2:22" ht="25.15" customHeight="1" x14ac:dyDescent="0.25">
      <c r="B40" s="274"/>
      <c r="C40" s="273" t="s">
        <v>373</v>
      </c>
      <c r="D40" s="269"/>
      <c r="E40" s="269"/>
      <c r="F40" s="269"/>
      <c r="G40" s="377">
        <v>2.85</v>
      </c>
      <c r="H40" s="452" t="s">
        <v>372</v>
      </c>
      <c r="I40" s="452"/>
      <c r="J40" s="452"/>
      <c r="K40" s="452"/>
      <c r="L40" s="68"/>
      <c r="M40" s="68"/>
      <c r="N40" s="68"/>
      <c r="O40" s="68"/>
      <c r="P40" s="68"/>
      <c r="Q40" s="68"/>
      <c r="R40" s="92"/>
      <c r="S40" s="92"/>
      <c r="T40" s="68"/>
      <c r="U40" s="68"/>
      <c r="V40" s="68"/>
    </row>
    <row r="41" spans="2:22" ht="37.15" customHeight="1" x14ac:dyDescent="0.25">
      <c r="B41" s="274"/>
      <c r="C41" s="273" t="s">
        <v>374</v>
      </c>
      <c r="D41" s="269"/>
      <c r="E41" s="269"/>
      <c r="F41" s="269"/>
      <c r="G41" s="270">
        <v>0.4</v>
      </c>
      <c r="H41" s="452" t="s">
        <v>376</v>
      </c>
      <c r="I41" s="451"/>
      <c r="J41" s="451"/>
      <c r="K41" s="451"/>
      <c r="L41" s="68"/>
      <c r="M41" s="68"/>
      <c r="N41" s="68"/>
      <c r="O41" s="68"/>
      <c r="P41" s="68"/>
      <c r="Q41" s="68"/>
      <c r="R41" s="92"/>
      <c r="S41" s="92"/>
      <c r="T41" s="68"/>
      <c r="U41" s="68"/>
      <c r="V41" s="68"/>
    </row>
    <row r="42" spans="2:22" ht="19.899999999999999" customHeight="1" x14ac:dyDescent="0.25">
      <c r="B42" s="274"/>
      <c r="C42" s="273" t="s">
        <v>375</v>
      </c>
      <c r="D42" s="269"/>
      <c r="E42" s="269"/>
      <c r="F42" s="269"/>
      <c r="G42" s="376">
        <f>G40*G41*10^6</f>
        <v>1140000.0000000002</v>
      </c>
      <c r="H42" s="452" t="s">
        <v>377</v>
      </c>
      <c r="I42" s="451"/>
      <c r="J42" s="451"/>
      <c r="K42" s="451"/>
      <c r="L42" s="68"/>
      <c r="M42" s="68"/>
      <c r="N42" s="68"/>
      <c r="O42" s="68"/>
      <c r="P42" s="68"/>
      <c r="Q42" s="68"/>
      <c r="R42" s="92"/>
      <c r="S42" s="92"/>
      <c r="T42" s="68"/>
      <c r="U42" s="68"/>
      <c r="V42" s="68"/>
    </row>
    <row r="43" spans="2:22" ht="19.899999999999999" customHeight="1" x14ac:dyDescent="0.25">
      <c r="B43" s="274"/>
      <c r="C43" s="273" t="s">
        <v>379</v>
      </c>
      <c r="D43" s="269"/>
      <c r="E43" s="269"/>
      <c r="F43" s="269"/>
      <c r="G43" s="376">
        <f>100*365</f>
        <v>36500</v>
      </c>
      <c r="H43" s="452" t="s">
        <v>380</v>
      </c>
      <c r="I43" s="452"/>
      <c r="J43" s="452"/>
      <c r="K43" s="452"/>
      <c r="L43" s="68"/>
      <c r="M43" s="68"/>
      <c r="N43" s="68"/>
      <c r="O43" s="68"/>
      <c r="P43" s="68"/>
      <c r="Q43" s="68"/>
      <c r="R43" s="92"/>
      <c r="S43" s="92"/>
      <c r="T43" s="68"/>
      <c r="U43" s="68"/>
      <c r="V43" s="68"/>
    </row>
    <row r="44" spans="2:22" x14ac:dyDescent="0.25">
      <c r="B44" s="269"/>
      <c r="C44" s="273" t="s">
        <v>243</v>
      </c>
      <c r="D44" s="269"/>
      <c r="E44" s="269"/>
      <c r="F44" s="269"/>
      <c r="G44" s="376">
        <f>G40*G41*10^6/G43</f>
        <v>31.232876712328775</v>
      </c>
      <c r="H44" s="272" t="s">
        <v>378</v>
      </c>
      <c r="I44" s="272"/>
      <c r="J44" s="272"/>
      <c r="K44" s="272"/>
      <c r="L44" s="68"/>
      <c r="M44" s="68"/>
      <c r="N44" s="68"/>
      <c r="O44" s="68"/>
      <c r="P44" s="68"/>
      <c r="Q44" s="68"/>
      <c r="R44" s="92"/>
      <c r="S44" s="92"/>
      <c r="T44" s="68"/>
      <c r="U44" s="68"/>
      <c r="V44" s="68"/>
    </row>
    <row r="45" spans="2:22" x14ac:dyDescent="0.25">
      <c r="B45" s="269"/>
      <c r="C45" s="273" t="s">
        <v>244</v>
      </c>
      <c r="D45" s="269"/>
      <c r="E45" s="269"/>
      <c r="F45" s="269"/>
      <c r="G45" s="270">
        <f>G46/1000*365</f>
        <v>28.47</v>
      </c>
      <c r="H45" s="281" t="s">
        <v>245</v>
      </c>
      <c r="I45" s="272"/>
      <c r="J45" s="272"/>
      <c r="K45" s="272"/>
      <c r="L45" s="68"/>
      <c r="M45" s="68"/>
      <c r="N45" s="68"/>
      <c r="O45" s="68"/>
      <c r="P45" s="68"/>
      <c r="Q45" s="68"/>
      <c r="R45" s="92"/>
      <c r="S45" s="92"/>
      <c r="T45" s="68"/>
      <c r="U45" s="68"/>
      <c r="V45" s="68"/>
    </row>
    <row r="46" spans="2:22" ht="42" customHeight="1" x14ac:dyDescent="0.25">
      <c r="B46" s="269"/>
      <c r="C46" s="273" t="s">
        <v>246</v>
      </c>
      <c r="D46" s="269"/>
      <c r="E46" s="269"/>
      <c r="F46" s="269"/>
      <c r="G46" s="282">
        <v>78</v>
      </c>
      <c r="H46" s="450" t="s">
        <v>247</v>
      </c>
      <c r="I46" s="451"/>
      <c r="J46" s="451"/>
      <c r="K46" s="451"/>
      <c r="L46" s="68"/>
      <c r="M46" s="68"/>
      <c r="N46" s="68"/>
      <c r="O46" s="68"/>
      <c r="P46" s="68"/>
      <c r="Q46" s="68"/>
      <c r="R46" s="92"/>
      <c r="S46" s="92"/>
      <c r="T46" s="68"/>
      <c r="U46" s="68"/>
      <c r="V46" s="68"/>
    </row>
    <row r="47" spans="2:22" ht="45.6" customHeight="1" x14ac:dyDescent="0.25">
      <c r="B47" s="269"/>
      <c r="C47" s="273" t="s">
        <v>248</v>
      </c>
      <c r="D47" s="269"/>
      <c r="E47" s="269"/>
      <c r="F47" s="269"/>
      <c r="G47" s="283">
        <v>0.16</v>
      </c>
      <c r="H47" s="450" t="s">
        <v>249</v>
      </c>
      <c r="I47" s="451"/>
      <c r="J47" s="451"/>
      <c r="K47" s="451"/>
      <c r="L47" s="68"/>
      <c r="M47" s="68"/>
      <c r="N47" s="68"/>
      <c r="O47" s="68"/>
      <c r="P47" s="68"/>
      <c r="Q47" s="68"/>
      <c r="R47" s="92"/>
      <c r="S47" s="92"/>
      <c r="T47" s="68"/>
      <c r="U47" s="68"/>
      <c r="V47" s="68"/>
    </row>
    <row r="48" spans="2:22" ht="34.15" customHeight="1" x14ac:dyDescent="0.25">
      <c r="B48" s="269"/>
      <c r="C48" s="273" t="s">
        <v>250</v>
      </c>
      <c r="D48" s="269"/>
      <c r="E48" s="269"/>
      <c r="F48" s="269"/>
      <c r="G48" s="270">
        <v>1.4</v>
      </c>
      <c r="H48" s="452" t="s">
        <v>251</v>
      </c>
      <c r="I48" s="450"/>
      <c r="J48" s="450"/>
      <c r="K48" s="450"/>
      <c r="L48" s="68"/>
      <c r="M48" s="68"/>
      <c r="N48" s="68"/>
      <c r="O48" s="68"/>
      <c r="P48" s="68"/>
      <c r="Q48" s="68"/>
      <c r="R48" s="92"/>
      <c r="S48" s="92"/>
      <c r="T48" s="68"/>
      <c r="U48" s="68"/>
      <c r="V48" s="68"/>
    </row>
    <row r="49" spans="1:22" ht="34.15" customHeight="1" x14ac:dyDescent="0.25">
      <c r="B49" s="269"/>
      <c r="C49" s="452" t="s">
        <v>252</v>
      </c>
      <c r="D49" s="451"/>
      <c r="E49" s="451"/>
      <c r="F49" s="451"/>
      <c r="G49" s="270">
        <v>1.25</v>
      </c>
      <c r="H49" s="452" t="s">
        <v>251</v>
      </c>
      <c r="I49" s="450"/>
      <c r="J49" s="450"/>
      <c r="K49" s="450"/>
      <c r="L49" s="68"/>
      <c r="M49" s="68"/>
      <c r="N49" s="68"/>
      <c r="O49" s="68"/>
      <c r="P49" s="68"/>
      <c r="Q49" s="68"/>
      <c r="R49" s="92"/>
      <c r="S49" s="92"/>
      <c r="T49" s="68"/>
      <c r="U49" s="68"/>
      <c r="V49" s="68"/>
    </row>
    <row r="50" spans="1:22" ht="18.600000000000001" customHeight="1" x14ac:dyDescent="0.25">
      <c r="B50" s="269"/>
      <c r="C50" s="273" t="s">
        <v>253</v>
      </c>
      <c r="D50" s="269"/>
      <c r="E50" s="269"/>
      <c r="F50" s="269"/>
      <c r="G50" s="270">
        <v>0</v>
      </c>
      <c r="H50" s="284" t="s">
        <v>254</v>
      </c>
      <c r="I50" s="272"/>
      <c r="J50" s="272"/>
      <c r="K50" s="272"/>
      <c r="L50" s="68"/>
      <c r="M50" s="68"/>
      <c r="N50" s="68"/>
      <c r="O50" s="68"/>
      <c r="P50" s="68"/>
      <c r="Q50" s="68"/>
      <c r="R50" s="92"/>
      <c r="S50" s="92"/>
      <c r="T50" s="68"/>
      <c r="U50" s="68"/>
      <c r="V50" s="68"/>
    </row>
    <row r="51" spans="1:22" ht="19.149999999999999" customHeight="1" x14ac:dyDescent="0.25">
      <c r="B51" s="269"/>
      <c r="C51" s="273" t="s">
        <v>255</v>
      </c>
      <c r="D51" s="269"/>
      <c r="E51" s="269"/>
      <c r="F51" s="269"/>
      <c r="G51" s="277">
        <f>G33*(28/44)</f>
        <v>0</v>
      </c>
      <c r="H51" s="285" t="s">
        <v>256</v>
      </c>
      <c r="I51" s="272"/>
      <c r="J51" s="272"/>
      <c r="K51" s="272"/>
      <c r="L51" s="68"/>
      <c r="M51" s="68"/>
      <c r="N51" s="68"/>
      <c r="O51" s="68"/>
      <c r="P51" s="68"/>
      <c r="Q51" s="68"/>
      <c r="R51" s="92"/>
      <c r="S51" s="92"/>
      <c r="T51" s="68"/>
      <c r="U51" s="68"/>
      <c r="V51" s="68"/>
    </row>
    <row r="52" spans="1:22" ht="18" x14ac:dyDescent="0.25">
      <c r="B52" s="269"/>
      <c r="C52" s="273" t="s">
        <v>257</v>
      </c>
      <c r="D52" s="269"/>
      <c r="E52" s="269"/>
      <c r="F52" s="269"/>
      <c r="G52" s="277">
        <f>(G44*G45*G47*G48*G49)-G50-G51</f>
        <v>248.976</v>
      </c>
      <c r="H52" s="271" t="s">
        <v>258</v>
      </c>
      <c r="I52" s="272"/>
      <c r="J52" s="272"/>
      <c r="K52" s="272"/>
      <c r="L52" s="68"/>
      <c r="M52" s="68"/>
      <c r="N52" s="68"/>
      <c r="O52" s="68"/>
      <c r="P52" s="68"/>
      <c r="Q52" s="68"/>
      <c r="R52" s="92"/>
      <c r="S52" s="92"/>
      <c r="T52" s="68"/>
      <c r="U52" s="68"/>
      <c r="V52" s="68"/>
    </row>
    <row r="53" spans="1:22" x14ac:dyDescent="0.25">
      <c r="B53" s="269"/>
      <c r="C53" s="273"/>
      <c r="D53" s="269"/>
      <c r="E53" s="269"/>
      <c r="F53" s="269"/>
      <c r="G53" s="277"/>
      <c r="H53" s="271"/>
      <c r="I53" s="272"/>
      <c r="J53" s="272"/>
      <c r="K53" s="272"/>
      <c r="L53" s="68"/>
      <c r="M53" s="68"/>
      <c r="N53" s="68"/>
      <c r="O53" s="68"/>
      <c r="P53" s="68"/>
      <c r="Q53" s="68"/>
      <c r="R53" s="92"/>
      <c r="S53" s="92"/>
      <c r="T53" s="68"/>
      <c r="U53" s="68"/>
      <c r="V53" s="68"/>
    </row>
    <row r="54" spans="1:22" x14ac:dyDescent="0.25">
      <c r="B54" s="269"/>
      <c r="C54" s="269"/>
      <c r="D54" s="269"/>
      <c r="E54" s="269"/>
      <c r="F54" s="269"/>
      <c r="G54" s="270"/>
      <c r="H54" s="271"/>
      <c r="I54" s="272"/>
      <c r="J54" s="272"/>
      <c r="K54" s="272"/>
      <c r="L54" s="68"/>
      <c r="M54" s="68"/>
      <c r="N54" s="68"/>
      <c r="O54" s="68"/>
      <c r="P54" s="68"/>
      <c r="Q54" s="68"/>
      <c r="R54" s="92"/>
      <c r="S54" s="92"/>
      <c r="T54" s="68"/>
      <c r="U54" s="68"/>
      <c r="V54" s="68"/>
    </row>
    <row r="55" spans="1:22" ht="18.75" x14ac:dyDescent="0.25">
      <c r="B55" s="274" t="s">
        <v>259</v>
      </c>
      <c r="C55" s="269"/>
      <c r="D55" s="269"/>
      <c r="E55" s="269"/>
      <c r="F55" s="269"/>
      <c r="G55" s="270"/>
      <c r="H55" s="271"/>
      <c r="I55" s="272"/>
      <c r="J55" s="272"/>
      <c r="K55" s="272"/>
      <c r="L55" s="68"/>
      <c r="M55" s="68"/>
      <c r="N55" s="68"/>
      <c r="O55" s="68"/>
      <c r="P55" s="68"/>
      <c r="Q55" s="68"/>
      <c r="R55" s="92"/>
      <c r="S55" s="92"/>
      <c r="T55" s="68"/>
      <c r="U55" s="68"/>
      <c r="V55" s="68"/>
    </row>
    <row r="56" spans="1:22" ht="35.25" customHeight="1" x14ac:dyDescent="0.25">
      <c r="B56" s="269"/>
      <c r="C56" s="273" t="s">
        <v>260</v>
      </c>
      <c r="D56" s="269"/>
      <c r="E56" s="269"/>
      <c r="F56" s="269"/>
      <c r="G56" s="270">
        <v>5.0000000000000001E-3</v>
      </c>
      <c r="H56" s="452" t="s">
        <v>261</v>
      </c>
      <c r="I56" s="450"/>
      <c r="J56" s="450"/>
      <c r="K56" s="450"/>
      <c r="L56" s="68"/>
      <c r="M56" s="68"/>
      <c r="N56" s="68"/>
      <c r="O56" s="68"/>
      <c r="P56" s="68"/>
      <c r="Q56" s="68"/>
      <c r="R56" s="92"/>
      <c r="S56" s="92"/>
      <c r="T56" s="68"/>
      <c r="U56" s="68"/>
      <c r="V56" s="68"/>
    </row>
    <row r="57" spans="1:22" x14ac:dyDescent="0.25">
      <c r="B57" s="269"/>
      <c r="C57" s="273"/>
      <c r="D57" s="269"/>
      <c r="E57" s="269"/>
      <c r="F57" s="269"/>
      <c r="G57" s="270"/>
      <c r="H57" s="271"/>
      <c r="I57" s="272"/>
      <c r="J57" s="272"/>
      <c r="K57" s="272"/>
      <c r="L57" s="68"/>
      <c r="M57" s="68"/>
      <c r="N57" s="68"/>
      <c r="O57" s="68"/>
      <c r="P57" s="68"/>
      <c r="Q57" s="68"/>
      <c r="R57" s="92"/>
      <c r="S57" s="92"/>
      <c r="T57" s="68"/>
      <c r="U57" s="68"/>
      <c r="V57" s="68"/>
    </row>
    <row r="58" spans="1:22" x14ac:dyDescent="0.25">
      <c r="B58" s="269"/>
      <c r="C58" s="269"/>
      <c r="D58" s="269"/>
      <c r="E58" s="269"/>
      <c r="F58" s="269"/>
      <c r="G58" s="270"/>
      <c r="H58" s="271"/>
      <c r="I58" s="272"/>
      <c r="J58" s="272"/>
      <c r="K58" s="272"/>
      <c r="L58" s="68"/>
      <c r="M58" s="68"/>
      <c r="N58" s="68"/>
      <c r="O58" s="68"/>
      <c r="P58" s="68"/>
      <c r="Q58" s="68"/>
      <c r="R58" s="92"/>
      <c r="S58" s="92"/>
      <c r="T58" s="68"/>
      <c r="U58" s="68"/>
      <c r="V58" s="68"/>
    </row>
    <row r="59" spans="1:22" ht="20.25" x14ac:dyDescent="0.25">
      <c r="B59" s="274" t="s">
        <v>262</v>
      </c>
      <c r="C59" s="269"/>
      <c r="D59" s="269"/>
      <c r="E59" s="269"/>
      <c r="F59" s="269"/>
      <c r="G59" s="270"/>
      <c r="H59" s="271"/>
      <c r="I59" s="272"/>
      <c r="J59" s="272"/>
      <c r="K59" s="272"/>
      <c r="L59" s="68"/>
      <c r="M59" s="68"/>
      <c r="N59" s="68"/>
      <c r="O59" s="68"/>
      <c r="P59" s="68"/>
      <c r="Q59" s="68"/>
      <c r="R59" s="92"/>
      <c r="S59" s="92"/>
      <c r="T59" s="68"/>
      <c r="U59" s="68"/>
      <c r="V59" s="68"/>
    </row>
    <row r="60" spans="1:22" ht="18" x14ac:dyDescent="0.25">
      <c r="A60" s="255"/>
      <c r="B60" s="269"/>
      <c r="C60" s="273" t="s">
        <v>263</v>
      </c>
      <c r="D60" s="269"/>
      <c r="E60" s="269"/>
      <c r="F60" s="269"/>
      <c r="G60" s="277">
        <f>G52</f>
        <v>248.976</v>
      </c>
      <c r="H60" s="281" t="s">
        <v>264</v>
      </c>
      <c r="I60" s="272"/>
      <c r="J60" s="272"/>
      <c r="K60" s="272"/>
      <c r="L60" s="68"/>
      <c r="M60" s="68"/>
      <c r="N60" s="68"/>
      <c r="O60" s="68"/>
      <c r="P60" s="68"/>
      <c r="Q60" s="68"/>
      <c r="R60" s="92"/>
      <c r="S60" s="92"/>
      <c r="T60" s="68"/>
      <c r="U60" s="68"/>
      <c r="V60" s="68"/>
    </row>
    <row r="61" spans="1:22" ht="18" x14ac:dyDescent="0.25">
      <c r="B61" s="269"/>
      <c r="C61" s="273" t="s">
        <v>265</v>
      </c>
      <c r="D61" s="269"/>
      <c r="E61" s="269"/>
      <c r="F61" s="269"/>
      <c r="G61" s="270">
        <f>G56</f>
        <v>5.0000000000000001E-3</v>
      </c>
      <c r="H61" s="272" t="s">
        <v>266</v>
      </c>
      <c r="I61" s="272"/>
      <c r="J61" s="272"/>
      <c r="K61" s="272"/>
      <c r="L61" s="68"/>
      <c r="M61" s="68"/>
      <c r="N61" s="68"/>
      <c r="O61" s="68"/>
      <c r="P61" s="68"/>
      <c r="Q61" s="68"/>
      <c r="R61" s="92"/>
      <c r="S61" s="92"/>
      <c r="T61" s="68"/>
      <c r="U61" s="68"/>
      <c r="V61" s="68"/>
    </row>
    <row r="62" spans="1:22" ht="18" x14ac:dyDescent="0.25">
      <c r="B62" s="269"/>
      <c r="C62" s="273" t="s">
        <v>267</v>
      </c>
      <c r="D62" s="269"/>
      <c r="E62" s="269"/>
      <c r="F62" s="269"/>
      <c r="G62" s="286">
        <f>44/28</f>
        <v>1.5714285714285714</v>
      </c>
      <c r="H62" s="271"/>
      <c r="I62" s="272"/>
      <c r="J62" s="272"/>
      <c r="K62" s="272"/>
      <c r="L62" s="68"/>
      <c r="M62" s="68"/>
      <c r="N62" s="68"/>
      <c r="O62" s="68"/>
      <c r="P62" s="68"/>
      <c r="Q62" s="68"/>
      <c r="R62" s="92"/>
      <c r="S62" s="92"/>
      <c r="T62" s="68"/>
      <c r="U62" s="68"/>
      <c r="V62" s="68"/>
    </row>
    <row r="63" spans="1:22" ht="18" x14ac:dyDescent="0.25">
      <c r="B63" s="269"/>
      <c r="C63" s="273" t="s">
        <v>268</v>
      </c>
      <c r="D63" s="269"/>
      <c r="E63" s="269"/>
      <c r="F63" s="269"/>
      <c r="G63" s="277">
        <f>G60*G61*G62</f>
        <v>1.95624</v>
      </c>
      <c r="H63" s="271" t="s">
        <v>269</v>
      </c>
      <c r="I63" s="272"/>
      <c r="J63" s="272"/>
      <c r="K63" s="272"/>
      <c r="L63" s="68"/>
      <c r="M63" s="68"/>
      <c r="N63" s="68"/>
      <c r="O63" s="68"/>
      <c r="P63" s="68"/>
      <c r="Q63" s="68"/>
      <c r="R63" s="92"/>
      <c r="S63" s="92"/>
      <c r="T63" s="68"/>
      <c r="U63" s="68"/>
      <c r="V63" s="68"/>
    </row>
    <row r="64" spans="1:22" ht="18" x14ac:dyDescent="0.25">
      <c r="B64" s="269"/>
      <c r="C64" s="273" t="s">
        <v>238</v>
      </c>
      <c r="D64" s="269"/>
      <c r="E64" s="269"/>
      <c r="F64" s="269"/>
      <c r="G64" s="270">
        <v>298</v>
      </c>
      <c r="H64" s="271" t="s">
        <v>239</v>
      </c>
      <c r="I64" s="272"/>
      <c r="J64" s="272"/>
      <c r="K64" s="272"/>
      <c r="L64" s="68"/>
      <c r="M64" s="68"/>
      <c r="N64" s="68"/>
      <c r="O64" s="68"/>
      <c r="P64" s="68"/>
      <c r="Q64" s="68"/>
      <c r="R64" s="92"/>
      <c r="S64" s="92"/>
      <c r="T64" s="68"/>
      <c r="U64" s="68"/>
      <c r="V64" s="68"/>
    </row>
    <row r="65" spans="2:22" ht="20.25" x14ac:dyDescent="0.25">
      <c r="B65" s="269"/>
      <c r="C65" s="274" t="s">
        <v>240</v>
      </c>
      <c r="D65" s="269"/>
      <c r="E65" s="269"/>
      <c r="F65" s="269"/>
      <c r="G65" s="280">
        <f>G63/1000*G64</f>
        <v>0.58295952000000006</v>
      </c>
      <c r="H65" s="271" t="s">
        <v>224</v>
      </c>
      <c r="I65" s="272"/>
      <c r="J65" s="272"/>
      <c r="K65" s="272"/>
      <c r="L65" s="68"/>
      <c r="M65" s="68"/>
      <c r="N65" s="68"/>
      <c r="O65" s="68"/>
      <c r="P65" s="68"/>
      <c r="Q65" s="68"/>
      <c r="R65" s="92"/>
      <c r="S65" s="92"/>
      <c r="T65" s="68"/>
      <c r="U65" s="68"/>
      <c r="V65" s="68"/>
    </row>
    <row r="66" spans="2:22" x14ac:dyDescent="0.25">
      <c r="B66" s="269"/>
      <c r="C66" s="269"/>
      <c r="D66" s="269"/>
      <c r="E66" s="269"/>
      <c r="F66" s="269"/>
      <c r="G66" s="270"/>
      <c r="H66" s="271"/>
      <c r="I66" s="272"/>
      <c r="J66" s="272"/>
      <c r="K66" s="272"/>
      <c r="L66" s="68"/>
      <c r="M66" s="68"/>
      <c r="N66" s="68"/>
      <c r="O66" s="68"/>
      <c r="P66" s="68"/>
      <c r="Q66" s="68"/>
      <c r="R66" s="92"/>
      <c r="S66" s="92"/>
      <c r="T66" s="68"/>
      <c r="U66" s="68"/>
      <c r="V66" s="68"/>
    </row>
    <row r="67" spans="2:22" ht="15.75" thickBot="1" x14ac:dyDescent="0.3">
      <c r="B67" s="269"/>
      <c r="C67" s="269"/>
      <c r="D67" s="269"/>
      <c r="E67" s="269"/>
      <c r="F67" s="269"/>
      <c r="G67" s="270"/>
      <c r="H67" s="271"/>
      <c r="I67" s="272"/>
      <c r="J67" s="272"/>
      <c r="K67" s="272"/>
      <c r="L67" s="68"/>
      <c r="M67" s="68"/>
      <c r="N67" s="68"/>
      <c r="O67" s="68"/>
      <c r="P67" s="68"/>
      <c r="Q67" s="68"/>
      <c r="R67" s="92"/>
      <c r="S67" s="92"/>
      <c r="T67" s="68"/>
      <c r="U67" s="68"/>
      <c r="V67" s="68"/>
    </row>
    <row r="68" spans="2:22" ht="21.75" thickTop="1" thickBot="1" x14ac:dyDescent="0.3">
      <c r="B68" s="274" t="s">
        <v>270</v>
      </c>
      <c r="C68" s="269"/>
      <c r="D68" s="269"/>
      <c r="E68" s="269"/>
      <c r="F68" s="269"/>
      <c r="G68" s="287">
        <f>G65+G35</f>
        <v>0.58295952000000006</v>
      </c>
      <c r="H68" s="271" t="s">
        <v>224</v>
      </c>
      <c r="I68" s="272"/>
      <c r="J68" s="272"/>
      <c r="K68" s="272"/>
      <c r="L68" s="68"/>
      <c r="M68" s="68"/>
      <c r="N68" s="68"/>
      <c r="O68" s="68"/>
      <c r="P68" s="68"/>
      <c r="Q68" s="68"/>
      <c r="R68" s="92"/>
      <c r="S68" s="92"/>
      <c r="T68" s="68"/>
      <c r="U68" s="68"/>
      <c r="V68" s="68"/>
    </row>
    <row r="69" spans="2:22" ht="15.75" thickTop="1" x14ac:dyDescent="0.25">
      <c r="B69" s="269"/>
      <c r="C69" s="269"/>
      <c r="D69" s="269"/>
      <c r="E69" s="269"/>
      <c r="F69" s="269"/>
      <c r="G69" s="270"/>
      <c r="H69" s="271"/>
      <c r="I69" s="272"/>
      <c r="J69" s="272"/>
      <c r="K69" s="272"/>
      <c r="L69" s="68"/>
      <c r="M69" s="68"/>
      <c r="N69" s="68"/>
      <c r="O69" s="68"/>
      <c r="P69" s="68"/>
      <c r="Q69" s="68"/>
      <c r="R69" s="92"/>
      <c r="S69" s="92"/>
      <c r="T69" s="68"/>
      <c r="U69" s="68"/>
      <c r="V69" s="68"/>
    </row>
  </sheetData>
  <mergeCells count="12">
    <mergeCell ref="C49:F49"/>
    <mergeCell ref="H49:K49"/>
    <mergeCell ref="H56:K56"/>
    <mergeCell ref="H31:K31"/>
    <mergeCell ref="H46:K46"/>
    <mergeCell ref="H47:K47"/>
    <mergeCell ref="H48:K48"/>
    <mergeCell ref="H40:K40"/>
    <mergeCell ref="H43:K43"/>
    <mergeCell ref="H38:K38"/>
    <mergeCell ref="H41:K41"/>
    <mergeCell ref="H42:K42"/>
  </mergeCells>
  <phoneticPr fontId="57" type="noConversion"/>
  <printOptions horizontalCentered="1"/>
  <pageMargins left="0.7" right="0.7" top="1.5" bottom="0.75" header="0.5" footer="0.3"/>
  <pageSetup scale="44" fitToHeight="3" orientation="portrait" r:id="rId1"/>
  <headerFooter scaleWithDoc="0">
    <oddHeader>&amp;C&amp;12
ATTACHMENT E
&amp;"-,Bold"Dry Creek Estimated Existing Scope 1 Emissions</oddHeader>
  </headerFooter>
  <rowBreaks count="1" manualBreakCount="1">
    <brk id="28" min="1"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G53"/>
  <sheetViews>
    <sheetView view="pageBreakPreview" zoomScaleNormal="100" zoomScaleSheetLayoutView="100" workbookViewId="0">
      <selection activeCell="C25" sqref="C25:C36"/>
    </sheetView>
  </sheetViews>
  <sheetFormatPr defaultRowHeight="15" x14ac:dyDescent="0.25"/>
  <cols>
    <col min="2" max="2" width="9.85546875" bestFit="1" customWidth="1"/>
    <col min="3" max="3" width="13" style="31" customWidth="1"/>
    <col min="4" max="4" width="13.42578125" style="31" customWidth="1"/>
    <col min="5" max="5" width="15.28515625" style="31" customWidth="1"/>
    <col min="6" max="6" width="14.85546875" style="31" customWidth="1"/>
    <col min="7" max="7" width="11.5703125" style="289" bestFit="1" customWidth="1"/>
    <col min="8" max="8" width="9.7109375" bestFit="1" customWidth="1"/>
  </cols>
  <sheetData>
    <row r="1" spans="1:7" x14ac:dyDescent="0.25">
      <c r="A1" s="288" t="s">
        <v>185</v>
      </c>
      <c r="B1">
        <f>'Carbon-Total Emissions'!C3</f>
        <v>0</v>
      </c>
    </row>
    <row r="2" spans="1:7" x14ac:dyDescent="0.25">
      <c r="F2" s="236"/>
      <c r="G2" t="s">
        <v>205</v>
      </c>
    </row>
    <row r="3" spans="1:7" x14ac:dyDescent="0.25">
      <c r="B3" s="290" t="s">
        <v>271</v>
      </c>
    </row>
    <row r="6" spans="1:7" ht="18" x14ac:dyDescent="0.35">
      <c r="B6" t="s">
        <v>272</v>
      </c>
      <c r="C6" s="31" t="s">
        <v>273</v>
      </c>
      <c r="D6" s="31" t="s">
        <v>274</v>
      </c>
      <c r="E6" s="31" t="s">
        <v>204</v>
      </c>
      <c r="F6" s="289" t="s">
        <v>211</v>
      </c>
      <c r="G6"/>
    </row>
    <row r="7" spans="1:7" x14ac:dyDescent="0.25">
      <c r="E7" s="31" t="s">
        <v>275</v>
      </c>
      <c r="F7" s="289"/>
      <c r="G7"/>
    </row>
    <row r="8" spans="1:7" ht="15.75" thickBot="1" x14ac:dyDescent="0.3">
      <c r="F8" s="289"/>
      <c r="G8"/>
    </row>
    <row r="9" spans="1:7" ht="15.75" hidden="1" thickBot="1" x14ac:dyDescent="0.3">
      <c r="B9" s="291">
        <v>39326</v>
      </c>
      <c r="C9" s="215" t="e">
        <f>#REF!+#REF!</f>
        <v>#REF!</v>
      </c>
      <c r="D9" s="292" t="e">
        <f>C9*0.001</f>
        <v>#REF!</v>
      </c>
      <c r="E9" s="293">
        <f>'Carbon-GHG Background Assumed'!$B$30</f>
        <v>0.78616838</v>
      </c>
      <c r="F9" s="289" t="e">
        <f t="shared" ref="F9:F24" si="0">D9*E9</f>
        <v>#REF!</v>
      </c>
      <c r="G9"/>
    </row>
    <row r="10" spans="1:7" ht="15.75" hidden="1" thickBot="1" x14ac:dyDescent="0.3">
      <c r="B10" s="291">
        <v>39356</v>
      </c>
      <c r="C10" s="215" t="e">
        <f>#REF!+#REF!</f>
        <v>#REF!</v>
      </c>
      <c r="D10" s="292" t="e">
        <f t="shared" ref="D10:D24" si="1">C10*0.001</f>
        <v>#REF!</v>
      </c>
      <c r="E10" s="293">
        <f>'Carbon-GHG Background Assumed'!$B$30</f>
        <v>0.78616838</v>
      </c>
      <c r="F10" s="289" t="e">
        <f t="shared" si="0"/>
        <v>#REF!</v>
      </c>
      <c r="G10"/>
    </row>
    <row r="11" spans="1:7" ht="15.75" hidden="1" thickBot="1" x14ac:dyDescent="0.3">
      <c r="B11" s="291">
        <v>39387</v>
      </c>
      <c r="C11" s="215" t="e">
        <f>#REF!+#REF!</f>
        <v>#REF!</v>
      </c>
      <c r="D11" s="292" t="e">
        <f t="shared" si="1"/>
        <v>#REF!</v>
      </c>
      <c r="E11" s="293">
        <f>'Carbon-GHG Background Assumed'!$B$30</f>
        <v>0.78616838</v>
      </c>
      <c r="F11" s="289" t="e">
        <f t="shared" si="0"/>
        <v>#REF!</v>
      </c>
      <c r="G11"/>
    </row>
    <row r="12" spans="1:7" ht="15.75" hidden="1" thickBot="1" x14ac:dyDescent="0.3">
      <c r="B12" s="291">
        <v>39417</v>
      </c>
      <c r="C12" s="215">
        <v>0</v>
      </c>
      <c r="D12" s="292">
        <f t="shared" si="1"/>
        <v>0</v>
      </c>
      <c r="E12" s="293">
        <f>'Carbon-GHG Background Assumed'!$B$30</f>
        <v>0.78616838</v>
      </c>
      <c r="F12" s="289">
        <f t="shared" si="0"/>
        <v>0</v>
      </c>
      <c r="G12"/>
    </row>
    <row r="13" spans="1:7" ht="15.75" hidden="1" thickBot="1" x14ac:dyDescent="0.3">
      <c r="B13" s="291">
        <v>39448</v>
      </c>
      <c r="C13" s="215" t="e">
        <f>#REF!+#REF!</f>
        <v>#REF!</v>
      </c>
      <c r="D13" s="292" t="e">
        <f t="shared" si="1"/>
        <v>#REF!</v>
      </c>
      <c r="E13" s="293">
        <f>'Carbon-GHG Background Assumed'!$B$30</f>
        <v>0.78616838</v>
      </c>
      <c r="F13" s="289" t="e">
        <f t="shared" si="0"/>
        <v>#REF!</v>
      </c>
      <c r="G13"/>
    </row>
    <row r="14" spans="1:7" ht="15.75" hidden="1" thickBot="1" x14ac:dyDescent="0.3">
      <c r="B14" s="291">
        <v>39479</v>
      </c>
      <c r="C14" s="215" t="e">
        <f>#REF!+#REF!</f>
        <v>#REF!</v>
      </c>
      <c r="D14" s="292" t="e">
        <f t="shared" si="1"/>
        <v>#REF!</v>
      </c>
      <c r="E14" s="293">
        <f>'Carbon-GHG Background Assumed'!$B$30</f>
        <v>0.78616838</v>
      </c>
      <c r="F14" s="289" t="e">
        <f t="shared" si="0"/>
        <v>#REF!</v>
      </c>
      <c r="G14"/>
    </row>
    <row r="15" spans="1:7" ht="15.75" hidden="1" thickBot="1" x14ac:dyDescent="0.3">
      <c r="B15" s="291">
        <v>39508</v>
      </c>
      <c r="C15" s="215" t="e">
        <f>#REF!+#REF!</f>
        <v>#REF!</v>
      </c>
      <c r="D15" s="292" t="e">
        <f t="shared" si="1"/>
        <v>#REF!</v>
      </c>
      <c r="E15" s="293">
        <f>'Carbon-GHG Background Assumed'!$B$30</f>
        <v>0.78616838</v>
      </c>
      <c r="F15" s="289" t="e">
        <f t="shared" si="0"/>
        <v>#REF!</v>
      </c>
      <c r="G15"/>
    </row>
    <row r="16" spans="1:7" ht="15.75" hidden="1" thickBot="1" x14ac:dyDescent="0.3">
      <c r="B16" s="291">
        <v>39539</v>
      </c>
      <c r="C16" s="215" t="e">
        <f>#REF!+#REF!</f>
        <v>#REF!</v>
      </c>
      <c r="D16" s="292" t="e">
        <f t="shared" si="1"/>
        <v>#REF!</v>
      </c>
      <c r="E16" s="293">
        <f>'Carbon-GHG Background Assumed'!$B$30</f>
        <v>0.78616838</v>
      </c>
      <c r="F16" s="289" t="e">
        <f t="shared" si="0"/>
        <v>#REF!</v>
      </c>
      <c r="G16"/>
    </row>
    <row r="17" spans="2:7" ht="15.75" hidden="1" thickBot="1" x14ac:dyDescent="0.3">
      <c r="B17" s="291">
        <v>39569</v>
      </c>
      <c r="C17" s="215" t="e">
        <f>#REF!+#REF!</f>
        <v>#REF!</v>
      </c>
      <c r="D17" s="292" t="e">
        <f t="shared" si="1"/>
        <v>#REF!</v>
      </c>
      <c r="E17" s="293">
        <f>'Carbon-GHG Background Assumed'!$B$30</f>
        <v>0.78616838</v>
      </c>
      <c r="F17" s="289" t="e">
        <f t="shared" si="0"/>
        <v>#REF!</v>
      </c>
      <c r="G17"/>
    </row>
    <row r="18" spans="2:7" ht="15.75" hidden="1" thickBot="1" x14ac:dyDescent="0.3">
      <c r="B18" s="291">
        <v>39600</v>
      </c>
      <c r="C18" s="215" t="e">
        <f>#REF!+#REF!</f>
        <v>#REF!</v>
      </c>
      <c r="D18" s="292" t="e">
        <f t="shared" si="1"/>
        <v>#REF!</v>
      </c>
      <c r="E18" s="293">
        <f>'Carbon-GHG Background Assumed'!$B$30</f>
        <v>0.78616838</v>
      </c>
      <c r="F18" s="289" t="e">
        <f t="shared" si="0"/>
        <v>#REF!</v>
      </c>
      <c r="G18"/>
    </row>
    <row r="19" spans="2:7" ht="15.75" hidden="1" thickBot="1" x14ac:dyDescent="0.3">
      <c r="B19" s="291">
        <v>39630</v>
      </c>
      <c r="C19" s="215" t="e">
        <f>#REF!+#REF!</f>
        <v>#REF!</v>
      </c>
      <c r="D19" s="292" t="e">
        <f t="shared" si="1"/>
        <v>#REF!</v>
      </c>
      <c r="E19" s="293">
        <f>'Carbon-GHG Background Assumed'!$B$30</f>
        <v>0.78616838</v>
      </c>
      <c r="F19" s="289" t="e">
        <f t="shared" si="0"/>
        <v>#REF!</v>
      </c>
      <c r="G19"/>
    </row>
    <row r="20" spans="2:7" ht="15.75" hidden="1" thickBot="1" x14ac:dyDescent="0.3">
      <c r="B20" s="291">
        <v>39661</v>
      </c>
      <c r="C20" s="215" t="e">
        <f>#REF!+#REF!</f>
        <v>#REF!</v>
      </c>
      <c r="D20" s="292" t="e">
        <f t="shared" si="1"/>
        <v>#REF!</v>
      </c>
      <c r="E20" s="293">
        <f>'Carbon-GHG Background Assumed'!$B$30</f>
        <v>0.78616838</v>
      </c>
      <c r="F20" s="289" t="e">
        <f t="shared" si="0"/>
        <v>#REF!</v>
      </c>
      <c r="G20"/>
    </row>
    <row r="21" spans="2:7" ht="15.75" hidden="1" thickBot="1" x14ac:dyDescent="0.3">
      <c r="B21" s="291">
        <v>39692</v>
      </c>
      <c r="C21" s="215" t="e">
        <f>#REF!+#REF!</f>
        <v>#REF!</v>
      </c>
      <c r="D21" s="292" t="e">
        <f t="shared" si="1"/>
        <v>#REF!</v>
      </c>
      <c r="E21" s="293">
        <f>'Carbon-GHG Background Assumed'!$B$30</f>
        <v>0.78616838</v>
      </c>
      <c r="F21" s="289" t="e">
        <f t="shared" si="0"/>
        <v>#REF!</v>
      </c>
      <c r="G21"/>
    </row>
    <row r="22" spans="2:7" ht="15.75" hidden="1" thickBot="1" x14ac:dyDescent="0.3">
      <c r="B22" s="291">
        <v>39722</v>
      </c>
      <c r="C22" s="215" t="e">
        <f>#REF!+#REF!</f>
        <v>#REF!</v>
      </c>
      <c r="D22" s="292" t="e">
        <f t="shared" si="1"/>
        <v>#REF!</v>
      </c>
      <c r="E22" s="293">
        <f>'Carbon-GHG Background Assumed'!$B$30</f>
        <v>0.78616838</v>
      </c>
      <c r="F22" s="289" t="e">
        <f t="shared" si="0"/>
        <v>#REF!</v>
      </c>
      <c r="G22"/>
    </row>
    <row r="23" spans="2:7" ht="15.75" hidden="1" thickBot="1" x14ac:dyDescent="0.3">
      <c r="B23" s="291">
        <v>39753</v>
      </c>
      <c r="C23" s="215" t="e">
        <f>#REF!+#REF!</f>
        <v>#REF!</v>
      </c>
      <c r="D23" s="292" t="e">
        <f t="shared" si="1"/>
        <v>#REF!</v>
      </c>
      <c r="E23" s="293">
        <f>'Carbon-GHG Background Assumed'!$B$30</f>
        <v>0.78616838</v>
      </c>
      <c r="F23" s="289" t="e">
        <f t="shared" si="0"/>
        <v>#REF!</v>
      </c>
      <c r="G23"/>
    </row>
    <row r="24" spans="2:7" ht="15.75" hidden="1" thickBot="1" x14ac:dyDescent="0.3">
      <c r="B24" s="291">
        <v>39783</v>
      </c>
      <c r="C24" s="215" t="e">
        <f>#REF!+#REF!</f>
        <v>#REF!</v>
      </c>
      <c r="D24" s="292" t="e">
        <f t="shared" si="1"/>
        <v>#REF!</v>
      </c>
      <c r="E24" s="293">
        <f>'Carbon-GHG Background Assumed'!$B$30</f>
        <v>0.78616838</v>
      </c>
      <c r="F24" s="289" t="e">
        <f t="shared" si="0"/>
        <v>#REF!</v>
      </c>
      <c r="G24"/>
    </row>
    <row r="25" spans="2:7" x14ac:dyDescent="0.25">
      <c r="B25" s="294" t="s">
        <v>276</v>
      </c>
      <c r="C25" s="295"/>
      <c r="D25" s="296">
        <f>C25*0.001</f>
        <v>0</v>
      </c>
      <c r="E25" s="453">
        <f>'Carbon-GHG Background Assumed'!$B$30</f>
        <v>0.78616838</v>
      </c>
      <c r="F25" s="297">
        <f t="shared" ref="F25:F36" si="2">D25*$E$25</f>
        <v>0</v>
      </c>
      <c r="G25"/>
    </row>
    <row r="26" spans="2:7" x14ac:dyDescent="0.25">
      <c r="B26" s="298" t="s">
        <v>277</v>
      </c>
      <c r="C26" s="299"/>
      <c r="D26" s="300">
        <f t="shared" ref="D26:D36" si="3">C26*0.001</f>
        <v>0</v>
      </c>
      <c r="E26" s="454"/>
      <c r="F26" s="301">
        <f t="shared" si="2"/>
        <v>0</v>
      </c>
      <c r="G26"/>
    </row>
    <row r="27" spans="2:7" x14ac:dyDescent="0.25">
      <c r="B27" s="298" t="s">
        <v>278</v>
      </c>
      <c r="C27" s="299"/>
      <c r="D27" s="300">
        <f t="shared" si="3"/>
        <v>0</v>
      </c>
      <c r="E27" s="454"/>
      <c r="F27" s="301">
        <f t="shared" si="2"/>
        <v>0</v>
      </c>
      <c r="G27"/>
    </row>
    <row r="28" spans="2:7" x14ac:dyDescent="0.25">
      <c r="B28" s="298" t="s">
        <v>279</v>
      </c>
      <c r="C28" s="299"/>
      <c r="D28" s="300">
        <f t="shared" si="3"/>
        <v>0</v>
      </c>
      <c r="E28" s="454"/>
      <c r="F28" s="301">
        <f t="shared" si="2"/>
        <v>0</v>
      </c>
      <c r="G28"/>
    </row>
    <row r="29" spans="2:7" x14ac:dyDescent="0.25">
      <c r="B29" s="298" t="s">
        <v>280</v>
      </c>
      <c r="C29" s="299"/>
      <c r="D29" s="300">
        <f t="shared" si="3"/>
        <v>0</v>
      </c>
      <c r="E29" s="454"/>
      <c r="F29" s="301">
        <f t="shared" si="2"/>
        <v>0</v>
      </c>
      <c r="G29"/>
    </row>
    <row r="30" spans="2:7" x14ac:dyDescent="0.25">
      <c r="B30" s="298" t="s">
        <v>281</v>
      </c>
      <c r="C30" s="299"/>
      <c r="D30" s="300">
        <f t="shared" si="3"/>
        <v>0</v>
      </c>
      <c r="E30" s="454"/>
      <c r="F30" s="301">
        <f t="shared" si="2"/>
        <v>0</v>
      </c>
      <c r="G30"/>
    </row>
    <row r="31" spans="2:7" x14ac:dyDescent="0.25">
      <c r="B31" s="298" t="s">
        <v>282</v>
      </c>
      <c r="C31" s="299"/>
      <c r="D31" s="300">
        <f t="shared" si="3"/>
        <v>0</v>
      </c>
      <c r="E31" s="454"/>
      <c r="F31" s="301">
        <f t="shared" si="2"/>
        <v>0</v>
      </c>
      <c r="G31"/>
    </row>
    <row r="32" spans="2:7" x14ac:dyDescent="0.25">
      <c r="B32" s="298" t="s">
        <v>283</v>
      </c>
      <c r="C32" s="299"/>
      <c r="D32" s="300">
        <f t="shared" si="3"/>
        <v>0</v>
      </c>
      <c r="E32" s="454"/>
      <c r="F32" s="301">
        <f t="shared" si="2"/>
        <v>0</v>
      </c>
      <c r="G32"/>
    </row>
    <row r="33" spans="1:7" x14ac:dyDescent="0.25">
      <c r="B33" s="298" t="s">
        <v>284</v>
      </c>
      <c r="C33" s="299"/>
      <c r="D33" s="300">
        <f t="shared" si="3"/>
        <v>0</v>
      </c>
      <c r="E33" s="454"/>
      <c r="F33" s="301">
        <f t="shared" si="2"/>
        <v>0</v>
      </c>
      <c r="G33"/>
    </row>
    <row r="34" spans="1:7" x14ac:dyDescent="0.25">
      <c r="B34" s="298" t="s">
        <v>285</v>
      </c>
      <c r="C34" s="299"/>
      <c r="D34" s="300">
        <f t="shared" si="3"/>
        <v>0</v>
      </c>
      <c r="E34" s="454"/>
      <c r="F34" s="301">
        <f t="shared" si="2"/>
        <v>0</v>
      </c>
      <c r="G34"/>
    </row>
    <row r="35" spans="1:7" x14ac:dyDescent="0.25">
      <c r="B35" s="298" t="s">
        <v>286</v>
      </c>
      <c r="C35" s="299"/>
      <c r="D35" s="300">
        <f t="shared" si="3"/>
        <v>0</v>
      </c>
      <c r="E35" s="454"/>
      <c r="F35" s="301">
        <f t="shared" si="2"/>
        <v>0</v>
      </c>
      <c r="G35"/>
    </row>
    <row r="36" spans="1:7" ht="15.75" thickBot="1" x14ac:dyDescent="0.3">
      <c r="B36" s="302" t="s">
        <v>287</v>
      </c>
      <c r="C36" s="303"/>
      <c r="D36" s="304">
        <f t="shared" si="3"/>
        <v>0</v>
      </c>
      <c r="E36" s="455"/>
      <c r="F36" s="305">
        <f t="shared" si="2"/>
        <v>0</v>
      </c>
      <c r="G36"/>
    </row>
    <row r="37" spans="1:7" ht="23.25" customHeight="1" thickBot="1" x14ac:dyDescent="0.3">
      <c r="C37" s="306"/>
      <c r="D37" s="306"/>
      <c r="E37" s="307" t="s">
        <v>288</v>
      </c>
      <c r="F37" s="308">
        <f>SUM(F25:F36)</f>
        <v>0</v>
      </c>
      <c r="G37"/>
    </row>
    <row r="38" spans="1:7" ht="15.75" thickTop="1" x14ac:dyDescent="0.25">
      <c r="B38" s="309"/>
      <c r="C38" s="215"/>
      <c r="D38" s="215"/>
      <c r="F38" s="289"/>
      <c r="G38"/>
    </row>
    <row r="39" spans="1:7" x14ac:dyDescent="0.25">
      <c r="C39" s="215"/>
      <c r="D39" s="215"/>
      <c r="E39" s="215"/>
      <c r="F39" s="310"/>
    </row>
    <row r="40" spans="1:7" ht="18" x14ac:dyDescent="0.35">
      <c r="A40" s="311" t="s">
        <v>289</v>
      </c>
      <c r="C40" s="215"/>
      <c r="D40" s="215"/>
      <c r="E40" s="215"/>
      <c r="F40" s="215"/>
    </row>
    <row r="41" spans="1:7" x14ac:dyDescent="0.25">
      <c r="C41" s="215"/>
      <c r="D41" s="215"/>
      <c r="E41" s="215"/>
      <c r="F41" s="215"/>
    </row>
    <row r="42" spans="1:7" x14ac:dyDescent="0.25">
      <c r="C42" s="215"/>
      <c r="D42" s="215"/>
      <c r="E42" s="215"/>
      <c r="F42" s="215"/>
    </row>
    <row r="52" spans="3:3" x14ac:dyDescent="0.25">
      <c r="C52" s="312"/>
    </row>
    <row r="53" spans="3:3" x14ac:dyDescent="0.25">
      <c r="C53" s="312"/>
    </row>
  </sheetData>
  <mergeCells count="1">
    <mergeCell ref="E25:E36"/>
  </mergeCells>
  <phoneticPr fontId="57" type="noConversion"/>
  <pageMargins left="0.7" right="0.7" top="1.5" bottom="0.75" header="0.5" footer="0.3"/>
  <pageSetup scale="74" orientation="portrait" r:id="rId1"/>
  <headerFooter scaleWithDoc="0">
    <oddHeader>&amp;C&amp;12
ATTACHMENT F
&amp;"-,Bold"Dry Creek Estimated Existing Scope 2 Emissions</oddHead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5"/>
  <sheetViews>
    <sheetView view="pageBreakPreview" zoomScale="70" zoomScaleNormal="90" zoomScaleSheetLayoutView="70" workbookViewId="0">
      <selection activeCell="C30" sqref="C30"/>
    </sheetView>
  </sheetViews>
  <sheetFormatPr defaultRowHeight="15" x14ac:dyDescent="0.25"/>
  <cols>
    <col min="1" max="1" width="40.7109375" customWidth="1"/>
    <col min="2" max="2" width="20.85546875" customWidth="1"/>
    <col min="3" max="3" width="19.5703125" bestFit="1" customWidth="1"/>
    <col min="4" max="4" width="34.28515625" customWidth="1"/>
    <col min="5" max="6" width="12.28515625" customWidth="1"/>
  </cols>
  <sheetData>
    <row r="1" spans="1:9" x14ac:dyDescent="0.25">
      <c r="A1" s="313" t="s">
        <v>290</v>
      </c>
      <c r="B1" s="113"/>
      <c r="C1" s="113"/>
      <c r="D1" s="314"/>
    </row>
    <row r="2" spans="1:9" ht="85.9" customHeight="1" thickBot="1" x14ac:dyDescent="0.3">
      <c r="A2" s="456" t="s">
        <v>291</v>
      </c>
      <c r="B2" s="457"/>
      <c r="C2" s="457"/>
      <c r="D2" s="458"/>
    </row>
    <row r="3" spans="1:9" ht="18.75" thickBot="1" x14ac:dyDescent="0.3">
      <c r="A3" s="315" t="s">
        <v>292</v>
      </c>
      <c r="B3" s="316" t="s">
        <v>293</v>
      </c>
      <c r="C3" s="316" t="s">
        <v>294</v>
      </c>
      <c r="D3" s="317" t="s">
        <v>295</v>
      </c>
    </row>
    <row r="4" spans="1:9" s="322" customFormat="1" ht="31.5" x14ac:dyDescent="0.25">
      <c r="A4" s="318" t="s">
        <v>213</v>
      </c>
      <c r="B4" s="319" t="s">
        <v>296</v>
      </c>
      <c r="C4" s="320" t="s">
        <v>297</v>
      </c>
      <c r="D4" s="321" t="s">
        <v>298</v>
      </c>
    </row>
    <row r="5" spans="1:9" s="322" customFormat="1" ht="31.5" x14ac:dyDescent="0.25">
      <c r="A5" s="323" t="s">
        <v>299</v>
      </c>
      <c r="B5" s="319" t="s">
        <v>296</v>
      </c>
      <c r="C5" s="320" t="s">
        <v>297</v>
      </c>
      <c r="D5" s="324" t="s">
        <v>298</v>
      </c>
    </row>
    <row r="6" spans="1:9" s="322" customFormat="1" ht="31.5" x14ac:dyDescent="0.25">
      <c r="A6" s="323" t="s">
        <v>216</v>
      </c>
      <c r="B6" s="319" t="s">
        <v>300</v>
      </c>
      <c r="C6" s="325" t="s">
        <v>301</v>
      </c>
      <c r="D6" s="324" t="s">
        <v>298</v>
      </c>
    </row>
    <row r="7" spans="1:9" s="322" customFormat="1" ht="31.5" x14ac:dyDescent="0.25">
      <c r="A7" s="323" t="s">
        <v>230</v>
      </c>
      <c r="B7" s="319" t="s">
        <v>300</v>
      </c>
      <c r="C7" s="325" t="s">
        <v>301</v>
      </c>
      <c r="D7" s="326" t="s">
        <v>298</v>
      </c>
    </row>
    <row r="8" spans="1:9" s="322" customFormat="1" ht="47.25" x14ac:dyDescent="0.25">
      <c r="A8" s="327" t="s">
        <v>302</v>
      </c>
      <c r="B8" s="319" t="s">
        <v>303</v>
      </c>
      <c r="C8" s="319" t="s">
        <v>304</v>
      </c>
      <c r="D8" s="326" t="s">
        <v>305</v>
      </c>
    </row>
    <row r="9" spans="1:9" s="322" customFormat="1" ht="47.25" x14ac:dyDescent="0.25">
      <c r="A9" s="323" t="s">
        <v>306</v>
      </c>
      <c r="B9" s="319" t="s">
        <v>303</v>
      </c>
      <c r="C9" s="319" t="s">
        <v>304</v>
      </c>
      <c r="D9" s="326" t="s">
        <v>307</v>
      </c>
    </row>
    <row r="10" spans="1:9" s="322" customFormat="1" ht="32.25" thickBot="1" x14ac:dyDescent="0.3">
      <c r="A10" s="328" t="s">
        <v>308</v>
      </c>
      <c r="B10" s="329" t="s">
        <v>309</v>
      </c>
      <c r="C10" s="330" t="s">
        <v>297</v>
      </c>
      <c r="D10" s="331" t="s">
        <v>298</v>
      </c>
    </row>
    <row r="11" spans="1:9" x14ac:dyDescent="0.25">
      <c r="A11" s="68"/>
      <c r="B11" s="68"/>
      <c r="C11" s="68"/>
      <c r="D11" s="68"/>
    </row>
    <row r="12" spans="1:9" ht="15.75" thickBot="1" x14ac:dyDescent="0.3">
      <c r="A12" s="332" t="s">
        <v>310</v>
      </c>
      <c r="B12" s="68"/>
      <c r="C12" s="68"/>
      <c r="D12" s="68"/>
    </row>
    <row r="13" spans="1:9" ht="45" x14ac:dyDescent="0.25">
      <c r="A13" s="333" t="s">
        <v>213</v>
      </c>
      <c r="B13" s="334">
        <v>1.0149999999999999E-2</v>
      </c>
      <c r="C13" s="334" t="s">
        <v>311</v>
      </c>
      <c r="D13" s="335" t="s">
        <v>312</v>
      </c>
      <c r="F13" s="336"/>
      <c r="G13" s="312"/>
      <c r="H13" s="312"/>
      <c r="I13" s="337"/>
    </row>
    <row r="14" spans="1:9" ht="45" x14ac:dyDescent="0.25">
      <c r="A14" s="338" t="s">
        <v>299</v>
      </c>
      <c r="B14" s="339">
        <v>1.0149999999999999E-2</v>
      </c>
      <c r="C14" s="339" t="s">
        <v>313</v>
      </c>
      <c r="D14" s="340" t="s">
        <v>312</v>
      </c>
      <c r="F14" s="312"/>
      <c r="G14" s="312"/>
      <c r="H14" s="312"/>
    </row>
    <row r="15" spans="1:9" ht="45" customHeight="1" x14ac:dyDescent="0.25">
      <c r="A15" s="338" t="s">
        <v>314</v>
      </c>
      <c r="B15" s="341">
        <f>0.513/1000</f>
        <v>5.13E-4</v>
      </c>
      <c r="C15" s="339" t="s">
        <v>315</v>
      </c>
      <c r="D15" s="340" t="s">
        <v>316</v>
      </c>
      <c r="F15" s="312"/>
      <c r="G15" s="312"/>
      <c r="H15" s="312"/>
    </row>
    <row r="16" spans="1:9" ht="45" customHeight="1" x14ac:dyDescent="0.25">
      <c r="A16" s="338" t="s">
        <v>317</v>
      </c>
      <c r="B16" s="341">
        <f>0.517/1000</f>
        <v>5.1699999999999999E-4</v>
      </c>
      <c r="C16" s="339" t="s">
        <v>315</v>
      </c>
      <c r="D16" s="340" t="s">
        <v>318</v>
      </c>
      <c r="F16" s="312"/>
      <c r="G16" s="312"/>
      <c r="H16" s="312"/>
    </row>
    <row r="17" spans="1:10" ht="45" customHeight="1" x14ac:dyDescent="0.25">
      <c r="A17" s="338" t="s">
        <v>319</v>
      </c>
      <c r="B17" s="341">
        <f>0.527/1000</f>
        <v>5.2700000000000002E-4</v>
      </c>
      <c r="C17" s="339" t="s">
        <v>315</v>
      </c>
      <c r="D17" s="340" t="s">
        <v>320</v>
      </c>
      <c r="F17" s="312"/>
      <c r="G17" s="312"/>
      <c r="H17" s="312"/>
    </row>
    <row r="18" spans="1:10" ht="45" customHeight="1" x14ac:dyDescent="0.25">
      <c r="A18" s="338" t="s">
        <v>321</v>
      </c>
      <c r="B18" s="341">
        <f>0.522/1000</f>
        <v>5.22E-4</v>
      </c>
      <c r="C18" s="339" t="s">
        <v>315</v>
      </c>
      <c r="D18" s="340" t="s">
        <v>320</v>
      </c>
      <c r="F18" s="312"/>
      <c r="G18" s="312"/>
      <c r="H18" s="312"/>
    </row>
    <row r="19" spans="1:10" ht="45" customHeight="1" x14ac:dyDescent="0.25">
      <c r="A19" s="338" t="s">
        <v>322</v>
      </c>
      <c r="B19" s="341">
        <f>0.537/1000</f>
        <v>5.3700000000000004E-4</v>
      </c>
      <c r="C19" s="339" t="s">
        <v>315</v>
      </c>
      <c r="D19" s="340" t="s">
        <v>323</v>
      </c>
      <c r="F19" s="312"/>
      <c r="G19" s="312"/>
      <c r="H19" s="312"/>
      <c r="I19" s="342"/>
      <c r="J19" s="342"/>
    </row>
    <row r="20" spans="1:10" ht="45" customHeight="1" x14ac:dyDescent="0.25">
      <c r="A20" s="338" t="s">
        <v>324</v>
      </c>
      <c r="B20" s="341">
        <f>0.536/1000</f>
        <v>5.3600000000000002E-4</v>
      </c>
      <c r="C20" s="339" t="s">
        <v>315</v>
      </c>
      <c r="D20" s="340" t="s">
        <v>323</v>
      </c>
      <c r="F20" s="312"/>
      <c r="G20" s="312"/>
      <c r="H20" s="312"/>
      <c r="I20" s="342"/>
      <c r="J20" s="342"/>
    </row>
    <row r="21" spans="1:10" ht="45" customHeight="1" x14ac:dyDescent="0.25">
      <c r="A21" s="338" t="s">
        <v>325</v>
      </c>
      <c r="B21" s="341">
        <f>0.544/1000</f>
        <v>5.44E-4</v>
      </c>
      <c r="C21" s="339" t="s">
        <v>315</v>
      </c>
      <c r="D21" s="340" t="s">
        <v>326</v>
      </c>
      <c r="F21" s="312"/>
      <c r="G21" s="312"/>
      <c r="H21" s="312"/>
    </row>
    <row r="22" spans="1:10" ht="45" customHeight="1" x14ac:dyDescent="0.25">
      <c r="A22" s="338" t="s">
        <v>327</v>
      </c>
      <c r="B22" s="341">
        <f>0.543/1000</f>
        <v>5.4300000000000008E-4</v>
      </c>
      <c r="C22" s="339" t="s">
        <v>315</v>
      </c>
      <c r="D22" s="340" t="s">
        <v>328</v>
      </c>
      <c r="F22" s="312"/>
      <c r="G22" s="312"/>
      <c r="H22" s="312"/>
    </row>
    <row r="23" spans="1:10" ht="45" customHeight="1" x14ac:dyDescent="0.25">
      <c r="A23" s="338" t="s">
        <v>329</v>
      </c>
      <c r="B23" s="341">
        <f>0.546/1000</f>
        <v>5.4600000000000004E-4</v>
      </c>
      <c r="C23" s="339" t="s">
        <v>315</v>
      </c>
      <c r="D23" s="340" t="s">
        <v>330</v>
      </c>
      <c r="F23" s="312"/>
      <c r="G23" s="312"/>
      <c r="H23" s="312"/>
    </row>
    <row r="24" spans="1:10" ht="45" customHeight="1" x14ac:dyDescent="0.25">
      <c r="A24" s="338" t="s">
        <v>331</v>
      </c>
      <c r="B24" s="341">
        <f>1.483/1000</f>
        <v>1.4830000000000002E-3</v>
      </c>
      <c r="C24" s="339" t="s">
        <v>315</v>
      </c>
      <c r="D24" s="340" t="s">
        <v>332</v>
      </c>
    </row>
    <row r="25" spans="1:10" ht="45" customHeight="1" x14ac:dyDescent="0.25">
      <c r="A25" s="338" t="s">
        <v>333</v>
      </c>
      <c r="B25" s="341">
        <f>1.529/1000</f>
        <v>1.529E-3</v>
      </c>
      <c r="C25" s="339" t="s">
        <v>315</v>
      </c>
      <c r="D25" s="340" t="s">
        <v>334</v>
      </c>
    </row>
    <row r="26" spans="1:10" ht="45" customHeight="1" x14ac:dyDescent="0.25">
      <c r="A26" s="338" t="s">
        <v>335</v>
      </c>
      <c r="B26" s="341">
        <f>0.677/1000</f>
        <v>6.7700000000000008E-4</v>
      </c>
      <c r="C26" s="339" t="s">
        <v>315</v>
      </c>
      <c r="D26" s="340" t="s">
        <v>336</v>
      </c>
    </row>
    <row r="27" spans="1:10" ht="45" customHeight="1" x14ac:dyDescent="0.25">
      <c r="A27" s="338" t="s">
        <v>337</v>
      </c>
      <c r="B27" s="341">
        <f>1.464/1000</f>
        <v>1.464E-3</v>
      </c>
      <c r="C27" s="339" t="s">
        <v>315</v>
      </c>
      <c r="D27" s="340" t="s">
        <v>338</v>
      </c>
    </row>
    <row r="28" spans="1:10" ht="45" customHeight="1" x14ac:dyDescent="0.25">
      <c r="A28" s="338" t="s">
        <v>339</v>
      </c>
      <c r="B28" s="343">
        <v>25</v>
      </c>
      <c r="C28" s="339" t="s">
        <v>340</v>
      </c>
      <c r="D28" s="340" t="s">
        <v>341</v>
      </c>
    </row>
    <row r="29" spans="1:10" ht="45" customHeight="1" x14ac:dyDescent="0.25">
      <c r="A29" s="338" t="s">
        <v>342</v>
      </c>
      <c r="B29" s="343">
        <v>298</v>
      </c>
      <c r="C29" s="339" t="s">
        <v>340</v>
      </c>
      <c r="D29" s="340" t="s">
        <v>341</v>
      </c>
      <c r="F29" s="312"/>
      <c r="G29" s="312"/>
      <c r="H29" s="312"/>
      <c r="I29" s="344"/>
      <c r="J29" s="344"/>
    </row>
    <row r="30" spans="1:10" ht="45" customHeight="1" x14ac:dyDescent="0.25">
      <c r="A30" s="345" t="s">
        <v>308</v>
      </c>
      <c r="B30" s="346">
        <f>(0.782*1)+(0.01404*0.001*25)+(0.01281*0.001*298)</f>
        <v>0.78616838</v>
      </c>
      <c r="C30" s="339" t="s">
        <v>343</v>
      </c>
      <c r="D30" s="340" t="s">
        <v>344</v>
      </c>
      <c r="F30" s="312"/>
      <c r="G30" s="312"/>
      <c r="H30" s="312"/>
      <c r="I30" s="312"/>
      <c r="J30" s="312"/>
    </row>
    <row r="31" spans="1:10" x14ac:dyDescent="0.25">
      <c r="A31" s="347"/>
      <c r="B31" s="348"/>
      <c r="C31" s="263"/>
      <c r="D31" s="349"/>
      <c r="E31" s="255"/>
      <c r="F31" s="312"/>
      <c r="G31" s="312"/>
      <c r="H31" s="312"/>
      <c r="I31" s="312"/>
      <c r="J31" s="312"/>
    </row>
    <row r="32" spans="1:10" ht="16.5" thickBot="1" x14ac:dyDescent="0.35">
      <c r="A32" s="350" t="s">
        <v>345</v>
      </c>
      <c r="B32" s="351" t="s">
        <v>346</v>
      </c>
      <c r="C32" s="54"/>
      <c r="D32" s="352"/>
      <c r="F32" s="312"/>
      <c r="G32" s="312"/>
      <c r="H32" s="312"/>
      <c r="I32" s="342"/>
      <c r="J32" s="342"/>
    </row>
    <row r="36" spans="1:6" x14ac:dyDescent="0.25">
      <c r="A36" s="353" t="s">
        <v>347</v>
      </c>
    </row>
    <row r="37" spans="1:6" ht="17.25" thickBot="1" x14ac:dyDescent="0.4">
      <c r="A37" s="459" t="s">
        <v>348</v>
      </c>
      <c r="B37" s="460"/>
      <c r="C37" s="460"/>
      <c r="D37" s="460"/>
      <c r="E37" s="460"/>
      <c r="F37" s="460"/>
    </row>
    <row r="38" spans="1:6" ht="76.5" thickTop="1" thickBot="1" x14ac:dyDescent="0.3">
      <c r="A38" s="354" t="s">
        <v>349</v>
      </c>
      <c r="B38" s="355" t="s">
        <v>350</v>
      </c>
      <c r="C38" s="354" t="s">
        <v>351</v>
      </c>
      <c r="D38" s="354" t="s">
        <v>352</v>
      </c>
      <c r="E38" s="354" t="s">
        <v>353</v>
      </c>
      <c r="F38" s="354" t="s">
        <v>354</v>
      </c>
    </row>
    <row r="39" spans="1:6" ht="15.75" thickTop="1" x14ac:dyDescent="0.25">
      <c r="A39" s="356" t="s">
        <v>355</v>
      </c>
      <c r="B39" s="246" t="s">
        <v>356</v>
      </c>
      <c r="C39" s="246">
        <v>375</v>
      </c>
      <c r="D39" s="357">
        <f t="shared" ref="D39:D52" si="0">C39/$C$53</f>
        <v>5.0916496945010187E-2</v>
      </c>
      <c r="E39" s="246">
        <v>54.9</v>
      </c>
      <c r="F39" s="358">
        <f t="shared" ref="F39:F52" si="1">E39*D39</f>
        <v>2.7953156822810592</v>
      </c>
    </row>
    <row r="40" spans="1:6" x14ac:dyDescent="0.25">
      <c r="A40" s="359" t="s">
        <v>357</v>
      </c>
      <c r="B40" s="249" t="s">
        <v>356</v>
      </c>
      <c r="C40" s="249">
        <v>726</v>
      </c>
      <c r="D40" s="360">
        <f t="shared" si="0"/>
        <v>9.8574338085539712E-2</v>
      </c>
      <c r="E40" s="249">
        <v>66.099999999999994</v>
      </c>
      <c r="F40" s="361">
        <f t="shared" si="1"/>
        <v>6.5157637474541747</v>
      </c>
    </row>
    <row r="41" spans="1:6" x14ac:dyDescent="0.25">
      <c r="A41" s="359" t="s">
        <v>358</v>
      </c>
      <c r="B41" s="249" t="s">
        <v>359</v>
      </c>
      <c r="C41" s="249">
        <v>452</v>
      </c>
      <c r="D41" s="360">
        <f t="shared" si="0"/>
        <v>6.1371350984385606E-2</v>
      </c>
      <c r="E41" s="249">
        <v>80.900000000000006</v>
      </c>
      <c r="F41" s="361">
        <f t="shared" si="1"/>
        <v>4.9649422946367956</v>
      </c>
    </row>
    <row r="42" spans="1:6" x14ac:dyDescent="0.25">
      <c r="A42" s="359" t="s">
        <v>358</v>
      </c>
      <c r="B42" s="249" t="s">
        <v>360</v>
      </c>
      <c r="C42" s="249">
        <v>478</v>
      </c>
      <c r="D42" s="360">
        <f t="shared" si="0"/>
        <v>6.4901561439239641E-2</v>
      </c>
      <c r="E42" s="249">
        <v>67.5</v>
      </c>
      <c r="F42" s="361">
        <f t="shared" si="1"/>
        <v>4.3808553971486761</v>
      </c>
    </row>
    <row r="43" spans="1:6" x14ac:dyDescent="0.25">
      <c r="A43" s="359" t="s">
        <v>361</v>
      </c>
      <c r="B43" s="249" t="s">
        <v>359</v>
      </c>
      <c r="C43" s="249">
        <v>638</v>
      </c>
      <c r="D43" s="360">
        <f t="shared" si="0"/>
        <v>8.6625933469110655E-2</v>
      </c>
      <c r="E43" s="249">
        <v>96.5</v>
      </c>
      <c r="F43" s="361">
        <f t="shared" si="1"/>
        <v>8.3594025797691778</v>
      </c>
    </row>
    <row r="44" spans="1:6" x14ac:dyDescent="0.25">
      <c r="A44" s="359" t="s">
        <v>361</v>
      </c>
      <c r="B44" s="249" t="s">
        <v>360</v>
      </c>
      <c r="C44" s="249">
        <v>578</v>
      </c>
      <c r="D44" s="360">
        <f t="shared" si="0"/>
        <v>7.8479293957909035E-2</v>
      </c>
      <c r="E44" s="249">
        <v>67.900000000000006</v>
      </c>
      <c r="F44" s="361">
        <f t="shared" si="1"/>
        <v>5.3287440597420241</v>
      </c>
    </row>
    <row r="45" spans="1:6" x14ac:dyDescent="0.25">
      <c r="A45" s="359" t="s">
        <v>362</v>
      </c>
      <c r="B45" s="249" t="s">
        <v>359</v>
      </c>
      <c r="C45" s="249">
        <v>475</v>
      </c>
      <c r="D45" s="360">
        <f t="shared" si="0"/>
        <v>6.4494229463679567E-2</v>
      </c>
      <c r="E45" s="249">
        <v>109.2</v>
      </c>
      <c r="F45" s="361">
        <f t="shared" si="1"/>
        <v>7.0427698574338091</v>
      </c>
    </row>
    <row r="46" spans="1:6" x14ac:dyDescent="0.25">
      <c r="A46" s="359" t="s">
        <v>362</v>
      </c>
      <c r="B46" s="249" t="s">
        <v>360</v>
      </c>
      <c r="C46" s="249">
        <v>399</v>
      </c>
      <c r="D46" s="360">
        <f t="shared" si="0"/>
        <v>5.4175152749490835E-2</v>
      </c>
      <c r="E46" s="249">
        <v>72.099999999999994</v>
      </c>
      <c r="F46" s="361">
        <f t="shared" si="1"/>
        <v>3.9060285132382888</v>
      </c>
    </row>
    <row r="47" spans="1:6" x14ac:dyDescent="0.25">
      <c r="A47" s="359" t="s">
        <v>363</v>
      </c>
      <c r="B47" s="249" t="s">
        <v>359</v>
      </c>
      <c r="C47" s="249">
        <v>634</v>
      </c>
      <c r="D47" s="360">
        <f t="shared" si="0"/>
        <v>8.6082824168363881E-2</v>
      </c>
      <c r="E47" s="249">
        <v>104.3</v>
      </c>
      <c r="F47" s="361">
        <f t="shared" si="1"/>
        <v>8.9784385607603525</v>
      </c>
    </row>
    <row r="48" spans="1:6" x14ac:dyDescent="0.25">
      <c r="A48" s="359" t="s">
        <v>363</v>
      </c>
      <c r="B48" s="249" t="s">
        <v>360</v>
      </c>
      <c r="C48" s="249">
        <v>618</v>
      </c>
      <c r="D48" s="360">
        <f t="shared" si="0"/>
        <v>8.3910386965376782E-2</v>
      </c>
      <c r="E48" s="249">
        <v>68.5</v>
      </c>
      <c r="F48" s="361">
        <f t="shared" si="1"/>
        <v>5.7478615071283095</v>
      </c>
    </row>
    <row r="49" spans="1:6" x14ac:dyDescent="0.25">
      <c r="A49" s="359" t="s">
        <v>364</v>
      </c>
      <c r="B49" s="249" t="s">
        <v>359</v>
      </c>
      <c r="C49" s="249">
        <v>556</v>
      </c>
      <c r="D49" s="360">
        <f t="shared" si="0"/>
        <v>7.5492192803801761E-2</v>
      </c>
      <c r="E49" s="249">
        <v>88.3</v>
      </c>
      <c r="F49" s="361">
        <f t="shared" si="1"/>
        <v>6.6659606245756953</v>
      </c>
    </row>
    <row r="50" spans="1:6" x14ac:dyDescent="0.25">
      <c r="A50" s="359" t="s">
        <v>364</v>
      </c>
      <c r="B50" s="249" t="s">
        <v>360</v>
      </c>
      <c r="C50" s="249">
        <v>618</v>
      </c>
      <c r="D50" s="360">
        <f t="shared" si="0"/>
        <v>8.3910386965376782E-2</v>
      </c>
      <c r="E50" s="249">
        <v>66.7</v>
      </c>
      <c r="F50" s="361">
        <f t="shared" si="1"/>
        <v>5.5968228105906315</v>
      </c>
    </row>
    <row r="51" spans="1:6" x14ac:dyDescent="0.25">
      <c r="A51" s="359" t="s">
        <v>365</v>
      </c>
      <c r="B51" s="249" t="s">
        <v>359</v>
      </c>
      <c r="C51" s="249">
        <v>399</v>
      </c>
      <c r="D51" s="360">
        <f t="shared" si="0"/>
        <v>5.4175152749490835E-2</v>
      </c>
      <c r="E51" s="249">
        <v>73.400000000000006</v>
      </c>
      <c r="F51" s="361">
        <f t="shared" si="1"/>
        <v>3.9764562118126277</v>
      </c>
    </row>
    <row r="52" spans="1:6" ht="15.75" thickBot="1" x14ac:dyDescent="0.3">
      <c r="A52" s="362" t="s">
        <v>365</v>
      </c>
      <c r="B52" s="363" t="s">
        <v>360</v>
      </c>
      <c r="C52" s="363">
        <v>419</v>
      </c>
      <c r="D52" s="364">
        <f t="shared" si="0"/>
        <v>5.6890699253224715E-2</v>
      </c>
      <c r="E52" s="363">
        <v>58.6</v>
      </c>
      <c r="F52" s="365">
        <f t="shared" si="1"/>
        <v>3.3337949762389685</v>
      </c>
    </row>
    <row r="53" spans="1:6" ht="15.75" thickTop="1" x14ac:dyDescent="0.25">
      <c r="A53" s="31"/>
      <c r="B53" s="229" t="s">
        <v>77</v>
      </c>
      <c r="C53" s="229">
        <f>SUM(C39:C52)</f>
        <v>7365</v>
      </c>
      <c r="D53" s="366">
        <f>SUM(D39:D52)</f>
        <v>1</v>
      </c>
      <c r="F53" s="367">
        <f>SUM(F39:F52)</f>
        <v>77.593156822810585</v>
      </c>
    </row>
    <row r="55" spans="1:6" ht="30" customHeight="1" x14ac:dyDescent="0.25">
      <c r="A55" s="459" t="s">
        <v>366</v>
      </c>
      <c r="B55" s="459"/>
      <c r="C55" s="459"/>
      <c r="D55" s="459"/>
      <c r="E55" s="459"/>
      <c r="F55" s="459"/>
    </row>
  </sheetData>
  <mergeCells count="3">
    <mergeCell ref="A2:D2"/>
    <mergeCell ref="A37:F37"/>
    <mergeCell ref="A55:F55"/>
  </mergeCells>
  <phoneticPr fontId="57" type="noConversion"/>
  <printOptions horizontalCentered="1"/>
  <pageMargins left="0.7" right="0.7" top="1.5" bottom="0.75" header="0.5" footer="0.3"/>
  <pageSetup scale="39" orientation="portrait" r:id="rId1"/>
  <headerFooter scaleWithDoc="0">
    <oddHeader>&amp;C&amp;12
ATTACHMENT A
&amp;"-,Bold"Emission Factors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workbookViewId="0">
      <selection activeCell="D20" sqref="D20"/>
    </sheetView>
  </sheetViews>
  <sheetFormatPr defaultRowHeight="15" x14ac:dyDescent="0.25"/>
  <sheetData/>
  <phoneticPr fontId="57"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AO73"/>
  <sheetViews>
    <sheetView zoomScale="60" zoomScaleNormal="60" workbookViewId="0">
      <selection activeCell="B45" sqref="B45"/>
    </sheetView>
  </sheetViews>
  <sheetFormatPr defaultRowHeight="15" x14ac:dyDescent="0.25"/>
  <cols>
    <col min="3" max="4" width="11.5703125" customWidth="1"/>
    <col min="5" max="5" width="13.85546875" customWidth="1"/>
    <col min="6" max="7" width="11.5703125" customWidth="1"/>
    <col min="8" max="8" width="17" customWidth="1"/>
    <col min="9" max="9" width="9.28515625" customWidth="1"/>
    <col min="10" max="10" width="8.85546875" customWidth="1"/>
    <col min="11" max="11" width="8.5703125" customWidth="1"/>
    <col min="12" max="15" width="10.140625" customWidth="1"/>
    <col min="16" max="16" width="11.140625" customWidth="1"/>
    <col min="17" max="17" width="12" customWidth="1"/>
    <col min="18" max="18" width="10.7109375" customWidth="1"/>
    <col min="19" max="19" width="13" customWidth="1"/>
    <col min="20" max="22" width="10.140625" customWidth="1"/>
    <col min="26" max="26" width="12.5703125" customWidth="1"/>
  </cols>
  <sheetData>
    <row r="2" spans="2:41" x14ac:dyDescent="0.25">
      <c r="B2" t="s">
        <v>135</v>
      </c>
    </row>
    <row r="3" spans="2:41" ht="15.75" thickBot="1" x14ac:dyDescent="0.3">
      <c r="X3" s="54"/>
      <c r="Y3" s="54"/>
    </row>
    <row r="4" spans="2:41" ht="15.75" thickBot="1" x14ac:dyDescent="0.3">
      <c r="B4" s="55"/>
      <c r="C4" s="56"/>
      <c r="D4" s="56"/>
      <c r="E4" s="56"/>
      <c r="F4" s="56" t="s">
        <v>136</v>
      </c>
      <c r="G4" s="132">
        <v>0</v>
      </c>
      <c r="H4" s="56"/>
      <c r="I4" s="56"/>
      <c r="J4" s="56"/>
      <c r="K4" s="56"/>
      <c r="L4" s="56"/>
      <c r="M4" s="56"/>
      <c r="N4" s="56"/>
      <c r="O4" s="56"/>
      <c r="P4" s="56"/>
      <c r="Q4" s="56"/>
      <c r="R4" s="56"/>
      <c r="S4" s="56"/>
      <c r="T4" s="56"/>
      <c r="U4" s="56"/>
      <c r="V4" s="56"/>
      <c r="W4" s="58"/>
      <c r="X4" s="55"/>
      <c r="Y4" s="58"/>
    </row>
    <row r="5" spans="2:41" ht="110.25" customHeight="1" thickBot="1" x14ac:dyDescent="0.3">
      <c r="B5" s="55"/>
      <c r="C5" s="59" t="s">
        <v>104</v>
      </c>
      <c r="D5" s="59" t="s">
        <v>105</v>
      </c>
      <c r="E5" s="59" t="s">
        <v>106</v>
      </c>
      <c r="F5" s="59" t="s">
        <v>107</v>
      </c>
      <c r="G5" s="60" t="s">
        <v>108</v>
      </c>
      <c r="H5" s="61"/>
      <c r="I5" s="133" t="s">
        <v>109</v>
      </c>
      <c r="J5" s="134" t="s">
        <v>110</v>
      </c>
      <c r="K5" s="134" t="s">
        <v>111</v>
      </c>
      <c r="L5" s="134" t="s">
        <v>112</v>
      </c>
      <c r="M5" s="134" t="s">
        <v>113</v>
      </c>
      <c r="N5" s="134" t="s">
        <v>114</v>
      </c>
      <c r="O5" s="134" t="s">
        <v>115</v>
      </c>
      <c r="P5" s="135" t="s">
        <v>116</v>
      </c>
      <c r="Q5" s="134" t="s">
        <v>117</v>
      </c>
      <c r="R5" s="134" t="s">
        <v>118</v>
      </c>
      <c r="S5" s="135" t="s">
        <v>119</v>
      </c>
      <c r="T5" s="134" t="s">
        <v>120</v>
      </c>
      <c r="U5" s="134" t="s">
        <v>121</v>
      </c>
      <c r="V5" s="136" t="s">
        <v>122</v>
      </c>
      <c r="W5" s="137" t="s">
        <v>123</v>
      </c>
      <c r="X5" s="66" t="s">
        <v>124</v>
      </c>
      <c r="Y5" s="67" t="s">
        <v>125</v>
      </c>
      <c r="Z5" s="118"/>
      <c r="AA5" s="118"/>
      <c r="AB5" s="138"/>
      <c r="AC5" s="138"/>
      <c r="AD5" s="138"/>
      <c r="AE5" s="138"/>
      <c r="AF5" s="138"/>
      <c r="AG5" s="138"/>
      <c r="AH5" s="138"/>
      <c r="AI5" s="138"/>
      <c r="AJ5" s="138"/>
      <c r="AK5" s="138"/>
      <c r="AL5" s="138"/>
      <c r="AM5" s="138"/>
      <c r="AN5" s="138"/>
      <c r="AO5" s="139"/>
    </row>
    <row r="6" spans="2:41" ht="20.25" customHeight="1" thickBot="1" x14ac:dyDescent="0.3">
      <c r="B6" s="55"/>
      <c r="C6" s="69"/>
      <c r="D6" s="70">
        <f>SUM(D8:D22)</f>
        <v>0</v>
      </c>
      <c r="E6" s="70">
        <f>SUM(E8:E22)</f>
        <v>0</v>
      </c>
      <c r="F6" s="69"/>
      <c r="G6" s="71"/>
      <c r="H6" s="72" t="s">
        <v>126</v>
      </c>
      <c r="I6" s="140">
        <f>'Allen Co. Labor Wages'!I14</f>
        <v>48.620999999999995</v>
      </c>
      <c r="J6" s="140">
        <f>'Allen Co. Labor Wages'!I15</f>
        <v>48.620999999999995</v>
      </c>
      <c r="K6" s="140">
        <f>'Allen Co. Labor Wages'!I43</f>
        <v>54.163724999999992</v>
      </c>
      <c r="L6" s="140">
        <f>'Allen Co. Labor Wages'!I17</f>
        <v>59.576999999999998</v>
      </c>
      <c r="M6" s="140">
        <f>'Allen Co. Labor Wages'!I37</f>
        <v>57.789000000000001</v>
      </c>
      <c r="N6" s="140">
        <f>'Allen Co. Labor Wages'!I19</f>
        <v>45.515999999999998</v>
      </c>
      <c r="O6" s="140">
        <f>('Allen Co. Labor Wages'!I20+'Allen Co. Labor Wages'!I21)/2</f>
        <v>49.569000000000003</v>
      </c>
      <c r="P6" s="141">
        <f>'Allen Co. Labor Wages'!I21</f>
        <v>44.298000000000002</v>
      </c>
      <c r="Q6" s="140">
        <f>'Allen Co. Labor Wages'!I46</f>
        <v>58.824150000000003</v>
      </c>
      <c r="R6" s="140">
        <f>'Allen Co. Labor Wages'!I45</f>
        <v>64.648237499999993</v>
      </c>
      <c r="S6" s="141">
        <f>'Allen Co. Labor Wages'!I24</f>
        <v>50.504999999999995</v>
      </c>
      <c r="T6" s="140">
        <f>'Allen Co. Labor Wages'!I25</f>
        <v>61.116</v>
      </c>
      <c r="U6" s="140">
        <f>'Allen Co. Labor Wages'!I26</f>
        <v>44.870999999999995</v>
      </c>
      <c r="V6" s="140">
        <f>'Allen Co. Labor Wages'!C31</f>
        <v>50</v>
      </c>
      <c r="W6" s="142">
        <f>'Allen Co. Labor Wages'!I27</f>
        <v>37.152000000000001</v>
      </c>
      <c r="X6" s="75"/>
      <c r="Y6" s="58"/>
      <c r="Z6" s="118"/>
      <c r="AA6" s="143"/>
      <c r="AB6" s="80"/>
      <c r="AC6" s="80"/>
      <c r="AD6" s="80"/>
      <c r="AE6" s="80"/>
      <c r="AF6" s="80"/>
      <c r="AG6" s="80"/>
      <c r="AH6" s="80"/>
      <c r="AI6" s="80"/>
      <c r="AJ6" s="80"/>
      <c r="AK6" s="80"/>
      <c r="AL6" s="80"/>
      <c r="AM6" s="80"/>
      <c r="AN6" s="80"/>
      <c r="AO6" s="80"/>
    </row>
    <row r="7" spans="2:41" ht="20.25" customHeight="1" thickBot="1" x14ac:dyDescent="0.3">
      <c r="B7" s="91"/>
      <c r="C7" s="92"/>
      <c r="D7" s="144"/>
      <c r="E7" s="144"/>
      <c r="F7" s="92"/>
      <c r="G7" s="145"/>
      <c r="H7" s="72" t="s">
        <v>127</v>
      </c>
      <c r="I7" s="446" t="s">
        <v>128</v>
      </c>
      <c r="J7" s="447"/>
      <c r="K7" s="447"/>
      <c r="L7" s="447"/>
      <c r="M7" s="447"/>
      <c r="N7" s="447"/>
      <c r="O7" s="447"/>
      <c r="P7" s="447"/>
      <c r="Q7" s="447"/>
      <c r="R7" s="447"/>
      <c r="S7" s="447"/>
      <c r="T7" s="447"/>
      <c r="U7" s="447"/>
      <c r="V7" s="447"/>
      <c r="W7" s="448"/>
      <c r="X7" s="80"/>
      <c r="Y7" s="81"/>
      <c r="Z7" s="118"/>
      <c r="AA7" s="143"/>
      <c r="AB7" s="80"/>
      <c r="AC7" s="80"/>
      <c r="AD7" s="80"/>
      <c r="AE7" s="80"/>
      <c r="AF7" s="80"/>
      <c r="AG7" s="80"/>
      <c r="AH7" s="80"/>
      <c r="AI7" s="80"/>
      <c r="AJ7" s="80"/>
      <c r="AK7" s="80"/>
      <c r="AL7" s="80"/>
      <c r="AM7" s="80"/>
      <c r="AN7" s="80"/>
      <c r="AO7" s="80"/>
    </row>
    <row r="8" spans="2:41" ht="15.75" x14ac:dyDescent="0.25">
      <c r="B8" s="91"/>
      <c r="C8" s="92">
        <v>2</v>
      </c>
      <c r="D8" s="93">
        <f t="shared" ref="D8:E22" si="0">$G$4*F8</f>
        <v>0</v>
      </c>
      <c r="E8" s="93">
        <f t="shared" si="0"/>
        <v>0</v>
      </c>
      <c r="F8" s="94">
        <f>AVERAGE(F29,F48)</f>
        <v>0.54249999999999998</v>
      </c>
      <c r="G8" s="95">
        <f>AVERAGE(G29,G48)</f>
        <v>0</v>
      </c>
      <c r="H8" s="85">
        <f>$G$4*F8</f>
        <v>0</v>
      </c>
      <c r="I8" s="146"/>
      <c r="J8" s="146"/>
      <c r="K8" s="146"/>
      <c r="L8" s="146">
        <v>0.4</v>
      </c>
      <c r="M8" s="146"/>
      <c r="N8" s="146">
        <v>0.4</v>
      </c>
      <c r="O8" s="147"/>
      <c r="P8" s="148"/>
      <c r="Q8" s="146"/>
      <c r="R8" s="146"/>
      <c r="S8" s="148"/>
      <c r="T8" s="146">
        <v>0.2</v>
      </c>
      <c r="U8" s="146"/>
      <c r="V8" s="146"/>
      <c r="W8" s="149"/>
      <c r="X8" s="88">
        <f t="shared" ref="X8:X22" si="1">I8*$I$6+J8*$J$6+K8*$K$6+L8*$L$6+M8*$M$6+N8*$N$6+O8*$O$6+P8*$P$6+Q8*$Q$6+R8*$R$6+S8*$S$6+T8*$T$6+U8*$U$6+W8*$W$6+V8*$V$6</f>
        <v>54.260399999999997</v>
      </c>
      <c r="Y8" s="89">
        <f t="shared" ref="Y8:Y22" si="2">H8/X8</f>
        <v>0</v>
      </c>
      <c r="Z8" s="118"/>
      <c r="AA8" s="118"/>
      <c r="AB8" s="150"/>
      <c r="AC8" s="150"/>
      <c r="AD8" s="150"/>
      <c r="AE8" s="150"/>
      <c r="AF8" s="150"/>
      <c r="AG8" s="150"/>
      <c r="AH8" s="147"/>
      <c r="AI8" s="150"/>
      <c r="AJ8" s="150"/>
      <c r="AK8" s="150"/>
      <c r="AL8" s="150"/>
      <c r="AM8" s="150"/>
      <c r="AN8" s="150"/>
      <c r="AO8" s="150"/>
    </row>
    <row r="9" spans="2:41" ht="15.75" x14ac:dyDescent="0.25">
      <c r="B9" s="91"/>
      <c r="C9" s="92">
        <v>3</v>
      </c>
      <c r="D9" s="93">
        <f t="shared" si="0"/>
        <v>0</v>
      </c>
      <c r="E9" s="93">
        <f t="shared" si="0"/>
        <v>0</v>
      </c>
      <c r="F9" s="94">
        <f t="shared" ref="F9:G22" si="3">AVERAGE(F30,F49)</f>
        <v>0</v>
      </c>
      <c r="G9" s="95">
        <f t="shared" si="3"/>
        <v>0</v>
      </c>
      <c r="H9" s="85">
        <f t="shared" ref="H9:H22" si="4">$G$4*F9</f>
        <v>0</v>
      </c>
      <c r="I9" s="146">
        <v>0.28499999999999998</v>
      </c>
      <c r="J9" s="146"/>
      <c r="K9" s="146"/>
      <c r="L9" s="146">
        <v>0.14199999999999999</v>
      </c>
      <c r="M9" s="146">
        <v>0.14199999999999999</v>
      </c>
      <c r="N9" s="146">
        <v>0.28499999999999998</v>
      </c>
      <c r="O9" s="147">
        <v>0.14199999999999999</v>
      </c>
      <c r="P9" s="148"/>
      <c r="Q9" s="146"/>
      <c r="R9" s="146"/>
      <c r="S9" s="148"/>
      <c r="T9" s="146"/>
      <c r="U9" s="146"/>
      <c r="V9" s="146"/>
      <c r="W9" s="149"/>
      <c r="X9" s="88">
        <f t="shared" si="1"/>
        <v>50.533814999999997</v>
      </c>
      <c r="Y9" s="89">
        <f t="shared" si="2"/>
        <v>0</v>
      </c>
      <c r="Z9" s="118"/>
      <c r="AA9" s="118"/>
      <c r="AB9" s="150"/>
      <c r="AC9" s="150"/>
      <c r="AD9" s="150"/>
      <c r="AE9" s="150"/>
      <c r="AF9" s="150"/>
      <c r="AG9" s="150"/>
      <c r="AH9" s="147"/>
      <c r="AI9" s="150"/>
      <c r="AJ9" s="150"/>
      <c r="AK9" s="150"/>
      <c r="AL9" s="150"/>
      <c r="AM9" s="150"/>
      <c r="AN9" s="150"/>
      <c r="AO9" s="150"/>
    </row>
    <row r="10" spans="2:41" x14ac:dyDescent="0.25">
      <c r="B10" s="91"/>
      <c r="C10" s="92">
        <v>4</v>
      </c>
      <c r="D10" s="93">
        <f t="shared" si="0"/>
        <v>0</v>
      </c>
      <c r="E10" s="93">
        <f t="shared" si="0"/>
        <v>0</v>
      </c>
      <c r="F10" s="94">
        <f t="shared" si="3"/>
        <v>0</v>
      </c>
      <c r="G10" s="95">
        <f t="shared" si="3"/>
        <v>0</v>
      </c>
      <c r="H10" s="85">
        <f t="shared" si="4"/>
        <v>0</v>
      </c>
      <c r="I10" s="146"/>
      <c r="J10" s="146"/>
      <c r="K10" s="146"/>
      <c r="L10" s="146"/>
      <c r="M10" s="146"/>
      <c r="N10" s="146">
        <v>0.4</v>
      </c>
      <c r="O10" s="146">
        <v>0.6</v>
      </c>
      <c r="P10" s="148"/>
      <c r="Q10" s="146"/>
      <c r="R10" s="146"/>
      <c r="S10" s="148"/>
      <c r="T10" s="146"/>
      <c r="U10" s="146"/>
      <c r="V10" s="146"/>
      <c r="W10" s="149"/>
      <c r="X10" s="88">
        <f t="shared" si="1"/>
        <v>47.947800000000001</v>
      </c>
      <c r="Y10" s="89">
        <f t="shared" si="2"/>
        <v>0</v>
      </c>
      <c r="Z10" s="118"/>
      <c r="AA10" s="118"/>
      <c r="AB10" s="150"/>
      <c r="AC10" s="150"/>
      <c r="AD10" s="150"/>
      <c r="AE10" s="150"/>
      <c r="AF10" s="150"/>
      <c r="AG10" s="150"/>
      <c r="AH10" s="150"/>
      <c r="AI10" s="150"/>
      <c r="AJ10" s="150"/>
      <c r="AK10" s="150"/>
      <c r="AL10" s="150"/>
      <c r="AM10" s="150"/>
      <c r="AN10" s="150"/>
      <c r="AO10" s="150"/>
    </row>
    <row r="11" spans="2:41" ht="15.75" x14ac:dyDescent="0.25">
      <c r="B11" s="91"/>
      <c r="C11" s="92">
        <v>5</v>
      </c>
      <c r="D11" s="93">
        <f t="shared" si="0"/>
        <v>0</v>
      </c>
      <c r="E11" s="93">
        <f t="shared" si="0"/>
        <v>0</v>
      </c>
      <c r="F11" s="94">
        <f t="shared" si="3"/>
        <v>0</v>
      </c>
      <c r="G11" s="95">
        <f t="shared" si="3"/>
        <v>0</v>
      </c>
      <c r="H11" s="85">
        <f t="shared" si="4"/>
        <v>0</v>
      </c>
      <c r="I11" s="146">
        <v>1</v>
      </c>
      <c r="J11" s="146"/>
      <c r="K11" s="146"/>
      <c r="L11" s="146"/>
      <c r="M11" s="146"/>
      <c r="N11" s="146"/>
      <c r="O11" s="147"/>
      <c r="P11" s="148"/>
      <c r="Q11" s="146"/>
      <c r="R11" s="146"/>
      <c r="S11" s="148"/>
      <c r="T11" s="146"/>
      <c r="U11" s="146"/>
      <c r="V11" s="146"/>
      <c r="W11" s="149"/>
      <c r="X11" s="88">
        <f t="shared" si="1"/>
        <v>48.620999999999995</v>
      </c>
      <c r="Y11" s="89">
        <f t="shared" si="2"/>
        <v>0</v>
      </c>
      <c r="Z11" s="118"/>
      <c r="AA11" s="118"/>
      <c r="AB11" s="150"/>
      <c r="AC11" s="150"/>
      <c r="AD11" s="150"/>
      <c r="AE11" s="150"/>
      <c r="AF11" s="150"/>
      <c r="AG11" s="150"/>
      <c r="AH11" s="147"/>
      <c r="AI11" s="150"/>
      <c r="AJ11" s="150"/>
      <c r="AK11" s="150"/>
      <c r="AL11" s="150"/>
      <c r="AM11" s="150"/>
      <c r="AN11" s="150"/>
      <c r="AO11" s="150"/>
    </row>
    <row r="12" spans="2:41" ht="15.75" x14ac:dyDescent="0.25">
      <c r="B12" s="91"/>
      <c r="C12" s="92">
        <v>6</v>
      </c>
      <c r="D12" s="93">
        <f t="shared" si="0"/>
        <v>0</v>
      </c>
      <c r="E12" s="93">
        <f t="shared" si="0"/>
        <v>0</v>
      </c>
      <c r="F12" s="94">
        <f t="shared" si="3"/>
        <v>0</v>
      </c>
      <c r="G12" s="95">
        <f t="shared" si="3"/>
        <v>0</v>
      </c>
      <c r="H12" s="85">
        <f t="shared" si="4"/>
        <v>0</v>
      </c>
      <c r="I12" s="146">
        <v>1</v>
      </c>
      <c r="J12" s="146"/>
      <c r="K12" s="146"/>
      <c r="L12" s="146"/>
      <c r="M12" s="146"/>
      <c r="N12" s="146"/>
      <c r="O12" s="147"/>
      <c r="P12" s="148"/>
      <c r="Q12" s="146"/>
      <c r="R12" s="146"/>
      <c r="S12" s="148"/>
      <c r="T12" s="146"/>
      <c r="U12" s="146"/>
      <c r="V12" s="146"/>
      <c r="W12" s="149"/>
      <c r="X12" s="88">
        <f t="shared" si="1"/>
        <v>48.620999999999995</v>
      </c>
      <c r="Y12" s="89">
        <f t="shared" si="2"/>
        <v>0</v>
      </c>
      <c r="Z12" s="118"/>
      <c r="AA12" s="118"/>
      <c r="AB12" s="150"/>
      <c r="AC12" s="150"/>
      <c r="AD12" s="150"/>
      <c r="AE12" s="150"/>
      <c r="AF12" s="150"/>
      <c r="AG12" s="150"/>
      <c r="AH12" s="147"/>
      <c r="AI12" s="150"/>
      <c r="AJ12" s="150"/>
      <c r="AK12" s="150"/>
      <c r="AL12" s="150"/>
      <c r="AM12" s="150"/>
      <c r="AN12" s="150"/>
      <c r="AO12" s="150"/>
    </row>
    <row r="13" spans="2:41" ht="15.75" x14ac:dyDescent="0.25">
      <c r="B13" s="91"/>
      <c r="C13" s="92">
        <v>7</v>
      </c>
      <c r="D13" s="93">
        <f t="shared" si="0"/>
        <v>0</v>
      </c>
      <c r="E13" s="93">
        <f t="shared" si="0"/>
        <v>0</v>
      </c>
      <c r="F13" s="94">
        <f t="shared" si="3"/>
        <v>0</v>
      </c>
      <c r="G13" s="95">
        <f t="shared" si="3"/>
        <v>0</v>
      </c>
      <c r="H13" s="85">
        <f t="shared" si="4"/>
        <v>0</v>
      </c>
      <c r="I13" s="146">
        <v>0.5</v>
      </c>
      <c r="J13" s="146"/>
      <c r="K13" s="146"/>
      <c r="L13" s="146"/>
      <c r="M13" s="146"/>
      <c r="N13" s="146"/>
      <c r="O13" s="147"/>
      <c r="P13" s="148"/>
      <c r="Q13" s="146"/>
      <c r="R13" s="146"/>
      <c r="S13" s="148"/>
      <c r="T13" s="146"/>
      <c r="U13" s="146"/>
      <c r="V13" s="146"/>
      <c r="W13" s="149">
        <v>0.5</v>
      </c>
      <c r="X13" s="88">
        <f t="shared" si="1"/>
        <v>42.886499999999998</v>
      </c>
      <c r="Y13" s="89">
        <f t="shared" si="2"/>
        <v>0</v>
      </c>
      <c r="Z13" s="118"/>
      <c r="AA13" s="118"/>
      <c r="AB13" s="150"/>
      <c r="AC13" s="150"/>
      <c r="AD13" s="150"/>
      <c r="AE13" s="150"/>
      <c r="AF13" s="150"/>
      <c r="AG13" s="150"/>
      <c r="AH13" s="147"/>
      <c r="AI13" s="150"/>
      <c r="AJ13" s="150"/>
      <c r="AK13" s="150"/>
      <c r="AL13" s="150"/>
      <c r="AM13" s="150"/>
      <c r="AN13" s="150"/>
      <c r="AO13" s="150"/>
    </row>
    <row r="14" spans="2:41" ht="15.75" x14ac:dyDescent="0.25">
      <c r="B14" s="91"/>
      <c r="C14" s="92">
        <v>8</v>
      </c>
      <c r="D14" s="93">
        <f t="shared" si="0"/>
        <v>0</v>
      </c>
      <c r="E14" s="93">
        <f t="shared" si="0"/>
        <v>0</v>
      </c>
      <c r="F14" s="94">
        <f t="shared" si="3"/>
        <v>0</v>
      </c>
      <c r="G14" s="95">
        <f t="shared" si="3"/>
        <v>0</v>
      </c>
      <c r="H14" s="85">
        <f t="shared" si="4"/>
        <v>0</v>
      </c>
      <c r="I14" s="146">
        <v>1</v>
      </c>
      <c r="J14" s="146"/>
      <c r="K14" s="146"/>
      <c r="L14" s="146"/>
      <c r="M14" s="146"/>
      <c r="N14" s="146"/>
      <c r="O14" s="147"/>
      <c r="P14" s="148"/>
      <c r="Q14" s="146"/>
      <c r="R14" s="146"/>
      <c r="S14" s="148"/>
      <c r="T14" s="146"/>
      <c r="U14" s="146"/>
      <c r="V14" s="146"/>
      <c r="W14" s="149"/>
      <c r="X14" s="88">
        <f t="shared" si="1"/>
        <v>48.620999999999995</v>
      </c>
      <c r="Y14" s="89">
        <f t="shared" si="2"/>
        <v>0</v>
      </c>
      <c r="Z14" s="118"/>
      <c r="AA14" s="118"/>
      <c r="AB14" s="150"/>
      <c r="AC14" s="150"/>
      <c r="AD14" s="150"/>
      <c r="AE14" s="150"/>
      <c r="AF14" s="150"/>
      <c r="AG14" s="150"/>
      <c r="AH14" s="147"/>
      <c r="AI14" s="150"/>
      <c r="AJ14" s="150"/>
      <c r="AK14" s="150"/>
      <c r="AL14" s="150"/>
      <c r="AM14" s="150"/>
      <c r="AN14" s="150"/>
      <c r="AO14" s="150"/>
    </row>
    <row r="15" spans="2:41" ht="15.75" x14ac:dyDescent="0.25">
      <c r="B15" s="91"/>
      <c r="C15" s="92">
        <v>9</v>
      </c>
      <c r="D15" s="93">
        <f t="shared" si="0"/>
        <v>0</v>
      </c>
      <c r="E15" s="93">
        <f t="shared" si="0"/>
        <v>0</v>
      </c>
      <c r="F15" s="94">
        <f t="shared" si="3"/>
        <v>0</v>
      </c>
      <c r="G15" s="95">
        <f t="shared" si="3"/>
        <v>0</v>
      </c>
      <c r="H15" s="85">
        <f t="shared" si="4"/>
        <v>0</v>
      </c>
      <c r="I15" s="146"/>
      <c r="J15" s="146"/>
      <c r="K15" s="146"/>
      <c r="L15" s="146"/>
      <c r="M15" s="146"/>
      <c r="N15" s="146"/>
      <c r="O15" s="147"/>
      <c r="P15" s="148"/>
      <c r="Q15" s="146"/>
      <c r="R15" s="146"/>
      <c r="S15" s="148"/>
      <c r="T15" s="146"/>
      <c r="U15" s="146">
        <v>1</v>
      </c>
      <c r="V15" s="146"/>
      <c r="W15" s="149"/>
      <c r="X15" s="88">
        <f t="shared" si="1"/>
        <v>44.870999999999995</v>
      </c>
      <c r="Y15" s="89">
        <f t="shared" si="2"/>
        <v>0</v>
      </c>
      <c r="Z15" s="118"/>
      <c r="AA15" s="118"/>
      <c r="AB15" s="150"/>
      <c r="AC15" s="150"/>
      <c r="AD15" s="150"/>
      <c r="AE15" s="150"/>
      <c r="AF15" s="150"/>
      <c r="AG15" s="150"/>
      <c r="AH15" s="147"/>
      <c r="AI15" s="150"/>
      <c r="AJ15" s="150"/>
      <c r="AK15" s="150"/>
      <c r="AL15" s="150"/>
      <c r="AM15" s="150"/>
      <c r="AN15" s="150"/>
      <c r="AO15" s="150"/>
    </row>
    <row r="16" spans="2:41" ht="15.75" x14ac:dyDescent="0.25">
      <c r="B16" s="91"/>
      <c r="C16" s="92">
        <v>10</v>
      </c>
      <c r="D16" s="93">
        <f t="shared" si="0"/>
        <v>0</v>
      </c>
      <c r="E16" s="93">
        <f t="shared" si="0"/>
        <v>0</v>
      </c>
      <c r="F16" s="94">
        <f t="shared" si="3"/>
        <v>0</v>
      </c>
      <c r="G16" s="95">
        <f t="shared" si="3"/>
        <v>0</v>
      </c>
      <c r="H16" s="85">
        <f t="shared" si="4"/>
        <v>0</v>
      </c>
      <c r="I16" s="146">
        <v>0.5</v>
      </c>
      <c r="J16" s="146"/>
      <c r="K16" s="146"/>
      <c r="L16" s="146"/>
      <c r="M16" s="146"/>
      <c r="N16" s="146"/>
      <c r="O16" s="147"/>
      <c r="P16" s="148"/>
      <c r="Q16" s="146">
        <v>0.5</v>
      </c>
      <c r="R16" s="146"/>
      <c r="S16" s="148"/>
      <c r="T16" s="146"/>
      <c r="U16" s="146"/>
      <c r="V16" s="146"/>
      <c r="W16" s="149"/>
      <c r="X16" s="88">
        <f t="shared" si="1"/>
        <v>53.722574999999999</v>
      </c>
      <c r="Y16" s="89">
        <f t="shared" si="2"/>
        <v>0</v>
      </c>
      <c r="Z16" s="118"/>
      <c r="AA16" s="118"/>
      <c r="AB16" s="150"/>
      <c r="AC16" s="150"/>
      <c r="AD16" s="150"/>
      <c r="AE16" s="150"/>
      <c r="AF16" s="150"/>
      <c r="AG16" s="150"/>
      <c r="AH16" s="147"/>
      <c r="AI16" s="150"/>
      <c r="AJ16" s="150"/>
      <c r="AK16" s="150"/>
      <c r="AL16" s="150"/>
      <c r="AM16" s="150"/>
      <c r="AN16" s="150"/>
      <c r="AO16" s="150"/>
    </row>
    <row r="17" spans="2:41" ht="15.75" x14ac:dyDescent="0.25">
      <c r="B17" s="91"/>
      <c r="C17" s="92">
        <v>11</v>
      </c>
      <c r="D17" s="93">
        <f t="shared" si="0"/>
        <v>0</v>
      </c>
      <c r="E17" s="93">
        <f t="shared" si="0"/>
        <v>0</v>
      </c>
      <c r="F17" s="94">
        <f t="shared" si="3"/>
        <v>0</v>
      </c>
      <c r="G17" s="95">
        <f t="shared" si="3"/>
        <v>0</v>
      </c>
      <c r="H17" s="85">
        <f t="shared" si="4"/>
        <v>0</v>
      </c>
      <c r="I17" s="146"/>
      <c r="J17" s="146">
        <v>0.75</v>
      </c>
      <c r="K17" s="146"/>
      <c r="L17" s="146">
        <v>0.25</v>
      </c>
      <c r="M17" s="146"/>
      <c r="N17" s="146"/>
      <c r="O17" s="147"/>
      <c r="P17" s="148"/>
      <c r="Q17" s="146"/>
      <c r="R17" s="146"/>
      <c r="S17" s="148"/>
      <c r="T17" s="146"/>
      <c r="U17" s="146"/>
      <c r="V17" s="146"/>
      <c r="W17" s="149"/>
      <c r="X17" s="88">
        <f t="shared" si="1"/>
        <v>51.36</v>
      </c>
      <c r="Y17" s="89">
        <f t="shared" si="2"/>
        <v>0</v>
      </c>
      <c r="Z17" s="118"/>
      <c r="AA17" s="118"/>
      <c r="AB17" s="150"/>
      <c r="AC17" s="150"/>
      <c r="AD17" s="150"/>
      <c r="AE17" s="150"/>
      <c r="AF17" s="150"/>
      <c r="AG17" s="150"/>
      <c r="AH17" s="147"/>
      <c r="AI17" s="150"/>
      <c r="AJ17" s="150"/>
      <c r="AK17" s="150"/>
      <c r="AL17" s="150"/>
      <c r="AM17" s="150"/>
      <c r="AN17" s="150"/>
      <c r="AO17" s="150"/>
    </row>
    <row r="18" spans="2:41" ht="15.75" x14ac:dyDescent="0.25">
      <c r="B18" s="91"/>
      <c r="C18" s="92">
        <v>12</v>
      </c>
      <c r="D18" s="93">
        <f t="shared" si="0"/>
        <v>0</v>
      </c>
      <c r="E18" s="93">
        <f t="shared" si="0"/>
        <v>0</v>
      </c>
      <c r="F18" s="94">
        <f t="shared" si="3"/>
        <v>0</v>
      </c>
      <c r="G18" s="95">
        <f t="shared" si="3"/>
        <v>0</v>
      </c>
      <c r="H18" s="85">
        <f t="shared" si="4"/>
        <v>0</v>
      </c>
      <c r="I18" s="146"/>
      <c r="J18" s="146"/>
      <c r="K18" s="146"/>
      <c r="L18" s="146"/>
      <c r="M18" s="146"/>
      <c r="N18" s="146">
        <v>1</v>
      </c>
      <c r="O18" s="147"/>
      <c r="P18" s="148"/>
      <c r="Q18" s="146"/>
      <c r="R18" s="146"/>
      <c r="S18" s="148"/>
      <c r="T18" s="146"/>
      <c r="U18" s="146"/>
      <c r="V18" s="146"/>
      <c r="W18" s="149"/>
      <c r="X18" s="88">
        <f t="shared" si="1"/>
        <v>45.515999999999998</v>
      </c>
      <c r="Y18" s="89">
        <f t="shared" si="2"/>
        <v>0</v>
      </c>
      <c r="Z18" s="118"/>
      <c r="AA18" s="118"/>
      <c r="AB18" s="150"/>
      <c r="AC18" s="150"/>
      <c r="AD18" s="150"/>
      <c r="AE18" s="150"/>
      <c r="AF18" s="150"/>
      <c r="AG18" s="150"/>
      <c r="AH18" s="147"/>
      <c r="AI18" s="150"/>
      <c r="AJ18" s="150"/>
      <c r="AK18" s="150"/>
      <c r="AL18" s="150"/>
      <c r="AM18" s="150"/>
      <c r="AN18" s="150"/>
      <c r="AO18" s="150"/>
    </row>
    <row r="19" spans="2:41" ht="15.75" x14ac:dyDescent="0.25">
      <c r="B19" s="91"/>
      <c r="C19" s="92">
        <v>13</v>
      </c>
      <c r="D19" s="93">
        <f t="shared" si="0"/>
        <v>0</v>
      </c>
      <c r="E19" s="93">
        <f t="shared" si="0"/>
        <v>0</v>
      </c>
      <c r="F19" s="94">
        <f t="shared" si="3"/>
        <v>0</v>
      </c>
      <c r="G19" s="95">
        <f t="shared" si="3"/>
        <v>0</v>
      </c>
      <c r="H19" s="85">
        <f t="shared" si="4"/>
        <v>0</v>
      </c>
      <c r="I19" s="146"/>
      <c r="J19" s="146"/>
      <c r="K19" s="146">
        <v>1</v>
      </c>
      <c r="L19" s="146"/>
      <c r="M19" s="146"/>
      <c r="N19" s="146"/>
      <c r="O19" s="147"/>
      <c r="P19" s="148"/>
      <c r="Q19" s="146"/>
      <c r="R19" s="146"/>
      <c r="S19" s="148"/>
      <c r="T19" s="146"/>
      <c r="U19" s="146"/>
      <c r="V19" s="146"/>
      <c r="W19" s="149"/>
      <c r="X19" s="88">
        <f t="shared" si="1"/>
        <v>54.163724999999992</v>
      </c>
      <c r="Y19" s="89">
        <f t="shared" si="2"/>
        <v>0</v>
      </c>
      <c r="Z19" s="118"/>
      <c r="AA19" s="118"/>
      <c r="AB19" s="150"/>
      <c r="AC19" s="150"/>
      <c r="AD19" s="150"/>
      <c r="AE19" s="150"/>
      <c r="AF19" s="150"/>
      <c r="AG19" s="150"/>
      <c r="AH19" s="147"/>
      <c r="AI19" s="150"/>
      <c r="AJ19" s="150"/>
      <c r="AK19" s="150"/>
      <c r="AL19" s="150"/>
      <c r="AM19" s="150"/>
      <c r="AN19" s="150"/>
      <c r="AO19" s="150"/>
    </row>
    <row r="20" spans="2:41" ht="15.75" x14ac:dyDescent="0.25">
      <c r="B20" s="91"/>
      <c r="C20" s="92">
        <v>14</v>
      </c>
      <c r="D20" s="93">
        <f t="shared" si="0"/>
        <v>0</v>
      </c>
      <c r="E20" s="93">
        <f t="shared" si="0"/>
        <v>0</v>
      </c>
      <c r="F20" s="94">
        <f t="shared" si="3"/>
        <v>0</v>
      </c>
      <c r="G20" s="95">
        <f t="shared" si="3"/>
        <v>0</v>
      </c>
      <c r="H20" s="85">
        <f t="shared" si="4"/>
        <v>0</v>
      </c>
      <c r="I20" s="146"/>
      <c r="J20" s="146">
        <v>0.8</v>
      </c>
      <c r="K20" s="146"/>
      <c r="L20" s="146"/>
      <c r="M20" s="146"/>
      <c r="N20" s="146">
        <v>0.2</v>
      </c>
      <c r="O20" s="147"/>
      <c r="P20" s="148"/>
      <c r="Q20" s="146"/>
      <c r="R20" s="146"/>
      <c r="S20" s="148"/>
      <c r="T20" s="146"/>
      <c r="U20" s="146"/>
      <c r="V20" s="146"/>
      <c r="W20" s="149"/>
      <c r="X20" s="88">
        <f t="shared" si="1"/>
        <v>48</v>
      </c>
      <c r="Y20" s="89">
        <f t="shared" si="2"/>
        <v>0</v>
      </c>
      <c r="Z20" s="118"/>
      <c r="AA20" s="118"/>
      <c r="AB20" s="150"/>
      <c r="AC20" s="150"/>
      <c r="AD20" s="150"/>
      <c r="AE20" s="150"/>
      <c r="AF20" s="150"/>
      <c r="AG20" s="150"/>
      <c r="AH20" s="147"/>
      <c r="AI20" s="150"/>
      <c r="AJ20" s="150"/>
      <c r="AK20" s="150"/>
      <c r="AL20" s="150"/>
      <c r="AM20" s="150"/>
      <c r="AN20" s="150"/>
      <c r="AO20" s="150"/>
    </row>
    <row r="21" spans="2:41" x14ac:dyDescent="0.25">
      <c r="B21" s="91"/>
      <c r="C21" s="92">
        <v>15</v>
      </c>
      <c r="D21" s="93">
        <f t="shared" si="0"/>
        <v>0</v>
      </c>
      <c r="E21" s="93">
        <f t="shared" si="0"/>
        <v>0</v>
      </c>
      <c r="F21" s="94">
        <f t="shared" si="3"/>
        <v>0</v>
      </c>
      <c r="G21" s="95">
        <f t="shared" si="3"/>
        <v>0</v>
      </c>
      <c r="H21" s="85">
        <f t="shared" si="4"/>
        <v>0</v>
      </c>
      <c r="I21" s="146"/>
      <c r="J21" s="146"/>
      <c r="K21" s="146"/>
      <c r="L21" s="146">
        <v>0.1</v>
      </c>
      <c r="M21" s="146"/>
      <c r="N21" s="146">
        <v>0.1</v>
      </c>
      <c r="O21" s="146"/>
      <c r="P21" s="148"/>
      <c r="Q21" s="146">
        <v>0.31</v>
      </c>
      <c r="R21" s="146">
        <v>0.31</v>
      </c>
      <c r="S21" s="148"/>
      <c r="T21" s="146">
        <v>0.18</v>
      </c>
      <c r="U21" s="146"/>
      <c r="V21" s="146"/>
      <c r="W21" s="149"/>
      <c r="X21" s="88">
        <f t="shared" si="1"/>
        <v>59.786620124999999</v>
      </c>
      <c r="Y21" s="89">
        <f t="shared" si="2"/>
        <v>0</v>
      </c>
      <c r="Z21" s="118"/>
      <c r="AA21" s="118"/>
      <c r="AB21" s="150"/>
      <c r="AC21" s="150"/>
      <c r="AD21" s="150"/>
      <c r="AE21" s="150"/>
      <c r="AF21" s="150"/>
      <c r="AG21" s="150"/>
      <c r="AH21" s="150"/>
      <c r="AI21" s="150"/>
      <c r="AJ21" s="150"/>
      <c r="AK21" s="150"/>
      <c r="AL21" s="150"/>
      <c r="AM21" s="150"/>
      <c r="AN21" s="150"/>
      <c r="AO21" s="150"/>
    </row>
    <row r="22" spans="2:41" ht="15.75" thickBot="1" x14ac:dyDescent="0.3">
      <c r="B22" s="96"/>
      <c r="C22" s="97">
        <v>16</v>
      </c>
      <c r="D22" s="98">
        <f t="shared" si="0"/>
        <v>0</v>
      </c>
      <c r="E22" s="98">
        <f t="shared" si="0"/>
        <v>0</v>
      </c>
      <c r="F22" s="99">
        <f t="shared" si="3"/>
        <v>0</v>
      </c>
      <c r="G22" s="100">
        <f t="shared" si="3"/>
        <v>0</v>
      </c>
      <c r="H22" s="101">
        <f t="shared" si="4"/>
        <v>0</v>
      </c>
      <c r="I22" s="146"/>
      <c r="J22" s="146"/>
      <c r="K22" s="146">
        <v>1</v>
      </c>
      <c r="L22" s="146"/>
      <c r="M22" s="146"/>
      <c r="N22" s="146"/>
      <c r="O22" s="146"/>
      <c r="P22" s="148"/>
      <c r="Q22" s="146"/>
      <c r="R22" s="146"/>
      <c r="S22" s="148"/>
      <c r="T22" s="146"/>
      <c r="U22" s="146"/>
      <c r="V22" s="146"/>
      <c r="W22" s="149"/>
      <c r="X22" s="88">
        <f t="shared" si="1"/>
        <v>54.163724999999992</v>
      </c>
      <c r="Y22" s="105">
        <f t="shared" si="2"/>
        <v>0</v>
      </c>
      <c r="Z22" s="118"/>
      <c r="AA22" s="118"/>
      <c r="AB22" s="150"/>
      <c r="AC22" s="150"/>
      <c r="AD22" s="150"/>
      <c r="AE22" s="150"/>
      <c r="AF22" s="150"/>
      <c r="AG22" s="150"/>
      <c r="AH22" s="150"/>
      <c r="AI22" s="150"/>
      <c r="AJ22" s="150"/>
      <c r="AK22" s="150"/>
      <c r="AL22" s="150"/>
      <c r="AM22" s="150"/>
      <c r="AN22" s="150"/>
      <c r="AO22" s="150"/>
    </row>
    <row r="23" spans="2:41" x14ac:dyDescent="0.25">
      <c r="E23" s="106" t="s">
        <v>129</v>
      </c>
      <c r="F23" s="107">
        <f>SUM(F8:F22)</f>
        <v>0.54249999999999998</v>
      </c>
      <c r="G23" s="107">
        <f>SUM(G8:G22)</f>
        <v>0</v>
      </c>
      <c r="H23" s="108" t="s">
        <v>130</v>
      </c>
      <c r="I23" s="109">
        <f t="shared" ref="I23:W23" si="5">I24*I6</f>
        <v>0</v>
      </c>
      <c r="J23" s="109">
        <f t="shared" si="5"/>
        <v>0</v>
      </c>
      <c r="K23" s="109">
        <f t="shared" si="5"/>
        <v>0</v>
      </c>
      <c r="L23" s="109">
        <f t="shared" si="5"/>
        <v>0</v>
      </c>
      <c r="M23" s="109">
        <f t="shared" si="5"/>
        <v>0</v>
      </c>
      <c r="N23" s="109">
        <f t="shared" si="5"/>
        <v>0</v>
      </c>
      <c r="O23" s="109">
        <f t="shared" si="5"/>
        <v>0</v>
      </c>
      <c r="P23" s="109">
        <f t="shared" si="5"/>
        <v>0</v>
      </c>
      <c r="Q23" s="109">
        <f t="shared" si="5"/>
        <v>0</v>
      </c>
      <c r="R23" s="109">
        <f t="shared" si="5"/>
        <v>0</v>
      </c>
      <c r="S23" s="109">
        <f t="shared" si="5"/>
        <v>0</v>
      </c>
      <c r="T23" s="109">
        <f t="shared" si="5"/>
        <v>0</v>
      </c>
      <c r="U23" s="109">
        <f t="shared" si="5"/>
        <v>0</v>
      </c>
      <c r="V23" s="110"/>
      <c r="W23" s="111">
        <f t="shared" si="5"/>
        <v>0</v>
      </c>
      <c r="X23" s="151"/>
      <c r="Y23" s="113"/>
      <c r="Z23" s="118"/>
      <c r="AA23" s="118"/>
      <c r="AB23" s="118"/>
      <c r="AC23" s="118"/>
      <c r="AD23" s="118"/>
      <c r="AE23" s="118"/>
      <c r="AF23" s="118"/>
      <c r="AG23" s="118"/>
      <c r="AH23" s="118"/>
      <c r="AI23" s="118"/>
      <c r="AJ23" s="118"/>
      <c r="AK23" s="118"/>
      <c r="AL23" s="118"/>
      <c r="AM23" s="118"/>
      <c r="AN23" s="118"/>
      <c r="AO23" s="118"/>
    </row>
    <row r="24" spans="2:41" ht="15.75" thickBot="1" x14ac:dyDescent="0.3">
      <c r="F24" s="114"/>
      <c r="G24" s="114"/>
      <c r="H24" s="108" t="s">
        <v>131</v>
      </c>
      <c r="I24" s="115">
        <f>I8*$Y$8+I9*$Y$9+I10*$Y$10+I11*$Y$11+I12*$Y$12+I13*$Y$13+I14*$Y$14+I15*$Y$15+I16*$Y$16+I17*$Y$17+I18*$Y$18+I19*$Y$19+I20*$Y$20+I21*$Y$21+I22*$Y$22</f>
        <v>0</v>
      </c>
      <c r="J24" s="115">
        <f t="shared" ref="J24:W24" si="6">J8*$Y$8+J9*$Y$9+J10*$Y$10+J11*$Y$11+J12*$Y$12+J13*$Y$13+J14*$Y$14+J15*$Y$15+J16*$Y$16+J17*$Y$17+J18*$Y$18+J19*$Y$19+J20*$Y$20+J21*$Y$21+J22*$Y$22</f>
        <v>0</v>
      </c>
      <c r="K24" s="115">
        <f t="shared" si="6"/>
        <v>0</v>
      </c>
      <c r="L24" s="115">
        <f t="shared" si="6"/>
        <v>0</v>
      </c>
      <c r="M24" s="115">
        <f t="shared" si="6"/>
        <v>0</v>
      </c>
      <c r="N24" s="115">
        <f t="shared" si="6"/>
        <v>0</v>
      </c>
      <c r="O24" s="115">
        <f t="shared" si="6"/>
        <v>0</v>
      </c>
      <c r="P24" s="115">
        <f t="shared" si="6"/>
        <v>0</v>
      </c>
      <c r="Q24" s="115">
        <f t="shared" si="6"/>
        <v>0</v>
      </c>
      <c r="R24" s="115">
        <f t="shared" si="6"/>
        <v>0</v>
      </c>
      <c r="S24" s="115">
        <f t="shared" si="6"/>
        <v>0</v>
      </c>
      <c r="T24" s="115">
        <f t="shared" si="6"/>
        <v>0</v>
      </c>
      <c r="U24" s="115">
        <f t="shared" si="6"/>
        <v>0</v>
      </c>
      <c r="V24" s="116"/>
      <c r="W24" s="117">
        <f t="shared" si="6"/>
        <v>0</v>
      </c>
      <c r="X24" s="121"/>
      <c r="Y24" s="68"/>
      <c r="Z24" s="68"/>
      <c r="AA24" s="68"/>
      <c r="AB24" s="68"/>
      <c r="AC24" s="68"/>
      <c r="AD24" s="68"/>
    </row>
    <row r="25" spans="2:41" ht="15.75" thickBot="1" x14ac:dyDescent="0.3">
      <c r="B25" t="s">
        <v>137</v>
      </c>
      <c r="F25" s="114"/>
      <c r="G25" s="114"/>
      <c r="I25" s="114"/>
      <c r="J25" s="114"/>
      <c r="K25" s="114"/>
      <c r="L25" s="114"/>
      <c r="M25" s="114"/>
      <c r="N25" s="114"/>
      <c r="O25" s="114"/>
      <c r="P25" s="114"/>
      <c r="Q25" s="114"/>
      <c r="R25" s="114"/>
      <c r="S25" s="114"/>
      <c r="T25" s="114"/>
      <c r="U25" s="114"/>
      <c r="V25" s="114"/>
      <c r="Y25" s="68"/>
      <c r="Z25" s="68"/>
      <c r="AA25" s="68"/>
      <c r="AB25" s="68"/>
      <c r="AC25" s="68"/>
      <c r="AD25" s="68"/>
    </row>
    <row r="26" spans="2:41" ht="15.75" thickBot="1" x14ac:dyDescent="0.3">
      <c r="B26" s="152"/>
      <c r="H26" s="68"/>
      <c r="I26" s="90"/>
      <c r="J26" s="90"/>
      <c r="K26" s="90"/>
      <c r="L26" s="90"/>
      <c r="M26" s="90"/>
      <c r="N26" s="90"/>
      <c r="O26" s="90"/>
      <c r="P26" s="90"/>
      <c r="Q26" s="90"/>
      <c r="R26" s="90"/>
      <c r="S26" s="90"/>
      <c r="T26" s="90"/>
      <c r="U26" s="90"/>
      <c r="V26" s="90"/>
      <c r="W26" s="90"/>
      <c r="X26" s="90"/>
      <c r="Y26" s="68"/>
      <c r="Z26" s="68"/>
      <c r="AA26" s="68"/>
      <c r="AB26" s="68"/>
      <c r="AC26" s="68"/>
      <c r="AD26" s="68"/>
    </row>
    <row r="27" spans="2:41" ht="15.75" thickBot="1" x14ac:dyDescent="0.3">
      <c r="B27" s="152"/>
      <c r="C27" s="153"/>
      <c r="D27" s="153" t="s">
        <v>136</v>
      </c>
      <c r="E27" s="153"/>
      <c r="F27" s="154">
        <v>1</v>
      </c>
      <c r="G27" s="155"/>
      <c r="H27" s="122"/>
      <c r="I27" s="122"/>
      <c r="J27" s="122"/>
      <c r="K27" s="122"/>
      <c r="L27" s="122"/>
      <c r="M27" s="122"/>
      <c r="N27" s="122"/>
      <c r="O27" s="122"/>
      <c r="P27" s="122"/>
      <c r="Q27" s="122"/>
      <c r="R27" s="122"/>
      <c r="S27" s="122"/>
      <c r="T27" s="122"/>
      <c r="U27" s="122"/>
      <c r="V27" s="122"/>
      <c r="W27" s="68"/>
      <c r="X27" s="68"/>
      <c r="Y27" s="68"/>
      <c r="Z27" s="68"/>
      <c r="AA27" s="68"/>
      <c r="AB27" s="68"/>
      <c r="AC27" s="68"/>
    </row>
    <row r="28" spans="2:41" ht="15.75" x14ac:dyDescent="0.25">
      <c r="B28" s="156"/>
      <c r="C28" s="122" t="s">
        <v>104</v>
      </c>
      <c r="D28" s="122" t="s">
        <v>105</v>
      </c>
      <c r="E28" s="122" t="s">
        <v>138</v>
      </c>
      <c r="F28" s="122" t="s">
        <v>107</v>
      </c>
      <c r="G28" s="157" t="s">
        <v>108</v>
      </c>
      <c r="H28" s="122"/>
      <c r="I28" s="126"/>
      <c r="J28" s="126"/>
      <c r="K28" s="126"/>
      <c r="L28" s="126"/>
      <c r="M28" s="126"/>
      <c r="N28" s="126"/>
      <c r="O28" s="126"/>
      <c r="P28" s="126"/>
      <c r="Q28" s="126"/>
      <c r="R28" s="126"/>
      <c r="S28" s="126"/>
      <c r="T28" s="126"/>
      <c r="U28" s="126"/>
      <c r="V28" s="126"/>
      <c r="W28" s="68"/>
      <c r="X28" s="68"/>
      <c r="AA28" s="68"/>
    </row>
    <row r="29" spans="2:41" ht="15.75" x14ac:dyDescent="0.25">
      <c r="B29" s="156"/>
      <c r="C29" s="122">
        <v>2</v>
      </c>
      <c r="D29" s="123"/>
      <c r="E29" s="123"/>
      <c r="F29" s="129">
        <v>0.495</v>
      </c>
      <c r="G29" s="158">
        <f>E29/$F$27</f>
        <v>0</v>
      </c>
      <c r="H29" s="122"/>
      <c r="I29" s="122"/>
      <c r="J29" s="122"/>
      <c r="K29" s="122"/>
      <c r="L29" s="122"/>
      <c r="M29" s="122"/>
      <c r="N29" s="122"/>
      <c r="O29" s="127"/>
      <c r="P29" s="122"/>
      <c r="Q29" s="122"/>
      <c r="R29" s="122"/>
      <c r="S29" s="122"/>
      <c r="T29" s="122"/>
      <c r="U29" s="122"/>
      <c r="V29" s="122"/>
      <c r="W29" s="68"/>
      <c r="X29" s="68"/>
      <c r="AA29" s="68"/>
    </row>
    <row r="30" spans="2:41" ht="15.75" x14ac:dyDescent="0.25">
      <c r="B30" s="156"/>
      <c r="C30" s="122">
        <v>3</v>
      </c>
      <c r="D30" s="123"/>
      <c r="E30" s="123"/>
      <c r="F30" s="129">
        <f t="shared" ref="F30:G43" si="7">D30/$F$27</f>
        <v>0</v>
      </c>
      <c r="G30" s="158">
        <f t="shared" si="7"/>
        <v>0</v>
      </c>
      <c r="H30" s="122"/>
      <c r="I30" s="122"/>
      <c r="J30" s="122"/>
      <c r="K30" s="122"/>
      <c r="L30" s="122"/>
      <c r="M30" s="122"/>
      <c r="N30" s="122"/>
      <c r="O30" s="127"/>
      <c r="P30" s="122"/>
      <c r="Q30" s="122"/>
      <c r="R30" s="122"/>
      <c r="S30" s="122"/>
      <c r="T30" s="122"/>
      <c r="U30" s="122"/>
      <c r="V30" s="122"/>
      <c r="W30" s="68"/>
      <c r="X30" s="68"/>
      <c r="AA30" s="68"/>
    </row>
    <row r="31" spans="2:41" ht="15.75" x14ac:dyDescent="0.25">
      <c r="B31" s="156"/>
      <c r="C31" s="122">
        <v>4</v>
      </c>
      <c r="D31" s="123"/>
      <c r="E31" s="123"/>
      <c r="F31" s="129">
        <f t="shared" si="7"/>
        <v>0</v>
      </c>
      <c r="G31" s="158">
        <f t="shared" si="7"/>
        <v>0</v>
      </c>
      <c r="H31" s="122"/>
      <c r="I31" s="122"/>
      <c r="J31" s="122"/>
      <c r="K31" s="122"/>
      <c r="L31" s="122"/>
      <c r="M31" s="122"/>
      <c r="N31" s="122"/>
      <c r="O31" s="127"/>
      <c r="P31" s="122"/>
      <c r="Q31" s="122"/>
      <c r="R31" s="122"/>
      <c r="S31" s="122"/>
      <c r="T31" s="122"/>
      <c r="U31" s="122"/>
      <c r="V31" s="122"/>
      <c r="W31" s="68"/>
      <c r="X31" s="68"/>
      <c r="AA31" s="68"/>
    </row>
    <row r="32" spans="2:41" ht="15.75" x14ac:dyDescent="0.25">
      <c r="B32" s="156"/>
      <c r="C32" s="122">
        <v>5</v>
      </c>
      <c r="D32" s="123"/>
      <c r="E32" s="123"/>
      <c r="F32" s="129">
        <f t="shared" si="7"/>
        <v>0</v>
      </c>
      <c r="G32" s="158">
        <f t="shared" si="7"/>
        <v>0</v>
      </c>
      <c r="H32" s="122"/>
      <c r="I32" s="122"/>
      <c r="J32" s="122"/>
      <c r="K32" s="122"/>
      <c r="L32" s="122"/>
      <c r="M32" s="122"/>
      <c r="N32" s="122"/>
      <c r="O32" s="127"/>
      <c r="P32" s="122"/>
      <c r="Q32" s="122"/>
      <c r="R32" s="122"/>
      <c r="S32" s="122"/>
      <c r="T32" s="122"/>
      <c r="U32" s="122"/>
      <c r="V32" s="122"/>
      <c r="W32" s="68"/>
      <c r="X32" s="68"/>
      <c r="AA32" s="68"/>
    </row>
    <row r="33" spans="2:27" ht="15.75" x14ac:dyDescent="0.25">
      <c r="B33" s="156"/>
      <c r="C33" s="122">
        <v>6</v>
      </c>
      <c r="D33" s="123"/>
      <c r="E33" s="123"/>
      <c r="F33" s="129">
        <f t="shared" si="7"/>
        <v>0</v>
      </c>
      <c r="G33" s="158">
        <f t="shared" si="7"/>
        <v>0</v>
      </c>
      <c r="H33" s="122"/>
      <c r="I33" s="122"/>
      <c r="J33" s="122"/>
      <c r="K33" s="122"/>
      <c r="L33" s="122"/>
      <c r="M33" s="122"/>
      <c r="N33" s="122"/>
      <c r="O33" s="127"/>
      <c r="P33" s="122"/>
      <c r="Q33" s="122"/>
      <c r="R33" s="122"/>
      <c r="S33" s="122"/>
      <c r="T33" s="122"/>
      <c r="U33" s="122"/>
      <c r="V33" s="122"/>
      <c r="W33" s="68"/>
      <c r="X33" s="68"/>
      <c r="AA33" s="68"/>
    </row>
    <row r="34" spans="2:27" ht="15.75" x14ac:dyDescent="0.25">
      <c r="B34" s="156"/>
      <c r="C34" s="122">
        <v>7</v>
      </c>
      <c r="D34" s="123"/>
      <c r="E34" s="123"/>
      <c r="F34" s="129">
        <f t="shared" si="7"/>
        <v>0</v>
      </c>
      <c r="G34" s="158">
        <f t="shared" si="7"/>
        <v>0</v>
      </c>
      <c r="H34" s="122"/>
      <c r="I34" s="122"/>
      <c r="J34" s="122"/>
      <c r="K34" s="122"/>
      <c r="L34" s="128"/>
      <c r="M34" s="122"/>
      <c r="N34" s="122"/>
      <c r="O34" s="127"/>
      <c r="P34" s="122"/>
      <c r="Q34" s="122"/>
      <c r="R34" s="122"/>
      <c r="S34" s="122"/>
      <c r="T34" s="122"/>
      <c r="U34" s="122"/>
      <c r="V34" s="122"/>
      <c r="W34" s="68"/>
      <c r="X34" s="68"/>
      <c r="AA34" s="68"/>
    </row>
    <row r="35" spans="2:27" ht="15.75" x14ac:dyDescent="0.25">
      <c r="B35" s="156"/>
      <c r="C35" s="122">
        <v>8</v>
      </c>
      <c r="D35" s="123"/>
      <c r="E35" s="123"/>
      <c r="F35" s="129">
        <f t="shared" si="7"/>
        <v>0</v>
      </c>
      <c r="G35" s="158">
        <f t="shared" si="7"/>
        <v>0</v>
      </c>
      <c r="H35" s="122"/>
      <c r="I35" s="122"/>
      <c r="J35" s="122"/>
      <c r="K35" s="122"/>
      <c r="L35" s="122"/>
      <c r="M35" s="122"/>
      <c r="N35" s="122"/>
      <c r="O35" s="127"/>
      <c r="P35" s="122"/>
      <c r="Q35" s="122"/>
      <c r="R35" s="122"/>
      <c r="S35" s="122"/>
      <c r="T35" s="122"/>
      <c r="U35" s="122"/>
      <c r="V35" s="122"/>
      <c r="W35" s="68"/>
      <c r="X35" s="68"/>
      <c r="AA35" s="68"/>
    </row>
    <row r="36" spans="2:27" ht="15.75" x14ac:dyDescent="0.25">
      <c r="B36" s="156"/>
      <c r="C36" s="122">
        <v>9</v>
      </c>
      <c r="D36" s="123"/>
      <c r="E36" s="123"/>
      <c r="F36" s="129">
        <f t="shared" si="7"/>
        <v>0</v>
      </c>
      <c r="G36" s="158">
        <f t="shared" si="7"/>
        <v>0</v>
      </c>
      <c r="H36" s="122"/>
      <c r="I36" s="122"/>
      <c r="J36" s="122"/>
      <c r="K36" s="122"/>
      <c r="L36" s="122"/>
      <c r="M36" s="122"/>
      <c r="N36" s="122"/>
      <c r="O36" s="127"/>
      <c r="P36" s="122"/>
      <c r="Q36" s="122"/>
      <c r="R36" s="122"/>
      <c r="S36" s="122"/>
      <c r="T36" s="122"/>
      <c r="U36" s="122"/>
      <c r="V36" s="122"/>
      <c r="W36" s="68"/>
      <c r="X36" s="68"/>
      <c r="AA36" s="68"/>
    </row>
    <row r="37" spans="2:27" ht="15.75" x14ac:dyDescent="0.25">
      <c r="B37" s="156"/>
      <c r="C37" s="122">
        <v>10</v>
      </c>
      <c r="D37" s="123"/>
      <c r="E37" s="123"/>
      <c r="F37" s="129">
        <f t="shared" si="7"/>
        <v>0</v>
      </c>
      <c r="G37" s="158">
        <f t="shared" si="7"/>
        <v>0</v>
      </c>
      <c r="H37" s="122"/>
      <c r="I37" s="122"/>
      <c r="J37" s="122"/>
      <c r="K37" s="122"/>
      <c r="L37" s="122"/>
      <c r="M37" s="122"/>
      <c r="N37" s="122"/>
      <c r="O37" s="127"/>
      <c r="P37" s="122"/>
      <c r="Q37" s="122"/>
      <c r="R37" s="122"/>
      <c r="S37" s="122"/>
      <c r="T37" s="122"/>
      <c r="U37" s="122"/>
      <c r="V37" s="122"/>
      <c r="W37" s="68"/>
      <c r="X37" s="68"/>
      <c r="AA37" s="68"/>
    </row>
    <row r="38" spans="2:27" ht="15.75" x14ac:dyDescent="0.25">
      <c r="B38" s="156"/>
      <c r="C38" s="122">
        <v>11</v>
      </c>
      <c r="D38" s="123"/>
      <c r="E38" s="123"/>
      <c r="F38" s="129">
        <f t="shared" si="7"/>
        <v>0</v>
      </c>
      <c r="G38" s="158">
        <f t="shared" si="7"/>
        <v>0</v>
      </c>
      <c r="H38" s="122"/>
      <c r="I38" s="122"/>
      <c r="J38" s="122"/>
      <c r="K38" s="122"/>
      <c r="L38" s="122"/>
      <c r="M38" s="122"/>
      <c r="N38" s="122"/>
      <c r="O38" s="127"/>
      <c r="P38" s="122"/>
      <c r="Q38" s="122"/>
      <c r="R38" s="122"/>
      <c r="S38" s="122"/>
      <c r="T38" s="122"/>
      <c r="U38" s="122"/>
      <c r="V38" s="122"/>
      <c r="W38" s="68"/>
      <c r="X38" s="68"/>
      <c r="AA38" s="68"/>
    </row>
    <row r="39" spans="2:27" ht="15.75" x14ac:dyDescent="0.25">
      <c r="B39" s="156"/>
      <c r="C39" s="122">
        <v>12</v>
      </c>
      <c r="D39" s="123"/>
      <c r="E39" s="123"/>
      <c r="F39" s="129">
        <f t="shared" si="7"/>
        <v>0</v>
      </c>
      <c r="G39" s="158">
        <f t="shared" si="7"/>
        <v>0</v>
      </c>
      <c r="H39" s="122"/>
      <c r="I39" s="122"/>
      <c r="J39" s="122"/>
      <c r="K39" s="122"/>
      <c r="L39" s="122"/>
      <c r="M39" s="122"/>
      <c r="N39" s="122"/>
      <c r="O39" s="127"/>
      <c r="P39" s="122"/>
      <c r="Q39" s="122"/>
      <c r="R39" s="122"/>
      <c r="S39" s="122"/>
      <c r="T39" s="122"/>
      <c r="U39" s="122"/>
      <c r="V39" s="122"/>
      <c r="W39" s="68"/>
      <c r="X39" s="68"/>
    </row>
    <row r="40" spans="2:27" ht="15.75" x14ac:dyDescent="0.25">
      <c r="B40" s="156"/>
      <c r="C40" s="122">
        <v>13</v>
      </c>
      <c r="D40" s="123"/>
      <c r="E40" s="123"/>
      <c r="F40" s="129">
        <f t="shared" si="7"/>
        <v>0</v>
      </c>
      <c r="G40" s="158">
        <f t="shared" si="7"/>
        <v>0</v>
      </c>
      <c r="H40" s="122"/>
      <c r="I40" s="122"/>
      <c r="J40" s="122"/>
      <c r="K40" s="122"/>
      <c r="L40" s="122"/>
      <c r="M40" s="122"/>
      <c r="N40" s="122"/>
      <c r="O40" s="127"/>
      <c r="P40" s="122"/>
      <c r="Q40" s="122"/>
      <c r="R40" s="122"/>
      <c r="S40" s="122"/>
      <c r="T40" s="122"/>
      <c r="U40" s="122"/>
      <c r="V40" s="122"/>
      <c r="W40" s="68"/>
      <c r="X40" s="68"/>
    </row>
    <row r="41" spans="2:27" ht="15.75" x14ac:dyDescent="0.25">
      <c r="B41" s="156"/>
      <c r="C41" s="122">
        <v>14</v>
      </c>
      <c r="D41" s="123"/>
      <c r="E41" s="123"/>
      <c r="F41" s="129">
        <f t="shared" si="7"/>
        <v>0</v>
      </c>
      <c r="G41" s="158">
        <f t="shared" si="7"/>
        <v>0</v>
      </c>
      <c r="H41" s="122"/>
      <c r="I41" s="122"/>
      <c r="J41" s="122"/>
      <c r="K41" s="122"/>
      <c r="L41" s="122"/>
      <c r="M41" s="122"/>
      <c r="N41" s="122"/>
      <c r="O41" s="127"/>
      <c r="P41" s="122"/>
      <c r="Q41" s="122"/>
      <c r="R41" s="122"/>
      <c r="S41" s="122"/>
      <c r="T41" s="122"/>
      <c r="U41" s="122"/>
      <c r="V41" s="122"/>
      <c r="W41" s="68"/>
      <c r="X41" s="68"/>
    </row>
    <row r="42" spans="2:27" x14ac:dyDescent="0.25">
      <c r="B42" s="156"/>
      <c r="C42" s="122">
        <v>15</v>
      </c>
      <c r="D42" s="123"/>
      <c r="E42" s="123"/>
      <c r="F42" s="129">
        <f t="shared" si="7"/>
        <v>0</v>
      </c>
      <c r="G42" s="158">
        <f t="shared" si="7"/>
        <v>0</v>
      </c>
      <c r="H42" s="122"/>
      <c r="I42" s="122"/>
      <c r="J42" s="122"/>
      <c r="K42" s="122"/>
      <c r="L42" s="122"/>
      <c r="M42" s="122"/>
      <c r="N42" s="122"/>
      <c r="O42" s="122"/>
      <c r="P42" s="122"/>
      <c r="Q42" s="122"/>
      <c r="R42" s="122"/>
      <c r="S42" s="122"/>
      <c r="T42" s="122"/>
      <c r="U42" s="122"/>
      <c r="V42" s="122"/>
      <c r="W42" s="68"/>
      <c r="X42" s="68"/>
    </row>
    <row r="43" spans="2:27" ht="15.75" thickBot="1" x14ac:dyDescent="0.3">
      <c r="B43" s="159"/>
      <c r="C43" s="160">
        <v>16</v>
      </c>
      <c r="D43" s="161"/>
      <c r="E43" s="161"/>
      <c r="F43" s="162">
        <f t="shared" si="7"/>
        <v>0</v>
      </c>
      <c r="G43" s="163">
        <f t="shared" si="7"/>
        <v>0</v>
      </c>
      <c r="H43" s="122"/>
      <c r="I43" s="122"/>
      <c r="J43" s="122"/>
      <c r="K43" s="122"/>
      <c r="L43" s="122"/>
      <c r="M43" s="122"/>
      <c r="N43" s="122"/>
      <c r="O43" s="122"/>
      <c r="P43" s="122"/>
      <c r="Q43" s="122"/>
      <c r="R43" s="122"/>
      <c r="S43" s="122"/>
      <c r="T43" s="122"/>
      <c r="U43" s="122"/>
      <c r="V43" s="122"/>
      <c r="W43" s="68"/>
      <c r="X43" s="68"/>
    </row>
    <row r="44" spans="2:27" ht="15.75" thickBot="1" x14ac:dyDescent="0.3">
      <c r="B44" s="164"/>
      <c r="C44" s="164"/>
      <c r="D44" s="164"/>
      <c r="E44" s="164"/>
      <c r="F44" s="164"/>
      <c r="G44" s="164"/>
      <c r="H44" s="122"/>
      <c r="I44" s="122"/>
      <c r="J44" s="122"/>
      <c r="K44" s="122"/>
      <c r="L44" s="122"/>
      <c r="M44" s="122"/>
      <c r="N44" s="122"/>
      <c r="O44" s="122"/>
      <c r="P44" s="122"/>
      <c r="Q44" s="122"/>
      <c r="R44" s="122"/>
      <c r="S44" s="122"/>
      <c r="T44" s="122"/>
      <c r="U44" s="122"/>
      <c r="V44" s="122"/>
      <c r="W44" s="68"/>
      <c r="X44" s="68"/>
    </row>
    <row r="45" spans="2:27" ht="15.75" thickBot="1" x14ac:dyDescent="0.3">
      <c r="B45" s="152"/>
      <c r="C45" s="164"/>
      <c r="D45" s="164"/>
      <c r="E45" s="164"/>
      <c r="F45" s="164"/>
      <c r="G45" s="164"/>
      <c r="H45" s="122"/>
      <c r="I45" s="122"/>
      <c r="J45" s="122"/>
      <c r="K45" s="122"/>
      <c r="L45" s="122"/>
      <c r="M45" s="122"/>
      <c r="N45" s="122"/>
      <c r="O45" s="122"/>
      <c r="P45" s="122"/>
      <c r="Q45" s="122"/>
      <c r="R45" s="122"/>
      <c r="S45" s="122"/>
      <c r="T45" s="122"/>
      <c r="U45" s="122"/>
      <c r="V45" s="122"/>
      <c r="W45" s="68"/>
      <c r="X45" s="68"/>
    </row>
    <row r="46" spans="2:27" ht="15.75" thickBot="1" x14ac:dyDescent="0.3">
      <c r="B46" s="152"/>
      <c r="C46" s="153"/>
      <c r="D46" s="153" t="s">
        <v>136</v>
      </c>
      <c r="E46" s="153"/>
      <c r="F46" s="154">
        <v>1</v>
      </c>
      <c r="G46" s="155"/>
      <c r="H46" s="122"/>
      <c r="I46" s="122"/>
      <c r="J46" s="122"/>
      <c r="K46" s="122"/>
      <c r="L46" s="122"/>
      <c r="M46" s="122"/>
      <c r="N46" s="122"/>
      <c r="O46" s="122"/>
      <c r="P46" s="122"/>
      <c r="Q46" s="122"/>
      <c r="R46" s="122"/>
      <c r="S46" s="122"/>
      <c r="T46" s="122"/>
      <c r="U46" s="122"/>
      <c r="V46" s="122"/>
      <c r="W46" s="68"/>
      <c r="X46" s="68"/>
    </row>
    <row r="47" spans="2:27" ht="15.75" x14ac:dyDescent="0.25">
      <c r="B47" s="156"/>
      <c r="C47" s="130" t="s">
        <v>104</v>
      </c>
      <c r="D47" s="130" t="s">
        <v>105</v>
      </c>
      <c r="E47" s="130" t="s">
        <v>138</v>
      </c>
      <c r="F47" s="130" t="s">
        <v>107</v>
      </c>
      <c r="G47" s="165" t="s">
        <v>108</v>
      </c>
      <c r="H47" s="122"/>
      <c r="I47" s="126"/>
      <c r="J47" s="126"/>
      <c r="K47" s="126"/>
      <c r="L47" s="126"/>
      <c r="M47" s="126"/>
      <c r="N47" s="126"/>
      <c r="O47" s="126"/>
      <c r="P47" s="126"/>
      <c r="Q47" s="126"/>
      <c r="R47" s="126"/>
      <c r="S47" s="126"/>
      <c r="T47" s="126"/>
      <c r="U47" s="126"/>
      <c r="V47" s="126"/>
      <c r="W47" s="68"/>
      <c r="X47" s="68"/>
    </row>
    <row r="48" spans="2:27" ht="15.75" x14ac:dyDescent="0.25">
      <c r="B48" s="156"/>
      <c r="C48" s="122">
        <v>2</v>
      </c>
      <c r="D48" s="123"/>
      <c r="E48" s="123"/>
      <c r="F48" s="129">
        <v>0.59</v>
      </c>
      <c r="G48" s="158">
        <f>E48/$F$46</f>
        <v>0</v>
      </c>
      <c r="H48" s="122"/>
      <c r="I48" s="122"/>
      <c r="J48" s="122"/>
      <c r="K48" s="122"/>
      <c r="L48" s="122"/>
      <c r="M48" s="122"/>
      <c r="N48" s="122"/>
      <c r="O48" s="127"/>
      <c r="P48" s="122"/>
      <c r="Q48" s="122"/>
      <c r="R48" s="122"/>
      <c r="S48" s="122"/>
      <c r="T48" s="122"/>
      <c r="U48" s="122"/>
      <c r="V48" s="122"/>
      <c r="W48" s="68"/>
      <c r="X48" s="68"/>
    </row>
    <row r="49" spans="2:24" ht="15.75" x14ac:dyDescent="0.25">
      <c r="B49" s="156"/>
      <c r="C49" s="122">
        <v>3</v>
      </c>
      <c r="D49" s="123"/>
      <c r="E49" s="123"/>
      <c r="F49" s="129">
        <f t="shared" ref="F49:G62" si="8">D49/$F$46</f>
        <v>0</v>
      </c>
      <c r="G49" s="158">
        <f t="shared" si="8"/>
        <v>0</v>
      </c>
      <c r="H49" s="122"/>
      <c r="I49" s="122"/>
      <c r="J49" s="122"/>
      <c r="K49" s="122"/>
      <c r="L49" s="122"/>
      <c r="M49" s="122"/>
      <c r="N49" s="122"/>
      <c r="O49" s="127"/>
      <c r="P49" s="122"/>
      <c r="Q49" s="122"/>
      <c r="R49" s="122"/>
      <c r="S49" s="122"/>
      <c r="T49" s="122"/>
      <c r="U49" s="122"/>
      <c r="V49" s="122"/>
      <c r="W49" s="68"/>
      <c r="X49" s="68"/>
    </row>
    <row r="50" spans="2:24" ht="15.75" x14ac:dyDescent="0.25">
      <c r="B50" s="156"/>
      <c r="C50" s="122">
        <v>4</v>
      </c>
      <c r="D50" s="123"/>
      <c r="E50" s="123"/>
      <c r="F50" s="129">
        <f t="shared" si="8"/>
        <v>0</v>
      </c>
      <c r="G50" s="158">
        <f t="shared" si="8"/>
        <v>0</v>
      </c>
      <c r="H50" s="122"/>
      <c r="I50" s="122"/>
      <c r="J50" s="122"/>
      <c r="K50" s="122"/>
      <c r="L50" s="122"/>
      <c r="M50" s="122"/>
      <c r="N50" s="122"/>
      <c r="O50" s="127"/>
      <c r="P50" s="122"/>
      <c r="Q50" s="122"/>
      <c r="R50" s="122"/>
      <c r="S50" s="122"/>
      <c r="T50" s="122"/>
      <c r="U50" s="122"/>
      <c r="V50" s="122"/>
      <c r="W50" s="68"/>
      <c r="X50" s="68"/>
    </row>
    <row r="51" spans="2:24" ht="15.75" x14ac:dyDescent="0.25">
      <c r="B51" s="156"/>
      <c r="C51" s="122">
        <v>5</v>
      </c>
      <c r="D51" s="123"/>
      <c r="E51" s="123"/>
      <c r="F51" s="129">
        <f t="shared" si="8"/>
        <v>0</v>
      </c>
      <c r="G51" s="158">
        <f t="shared" si="8"/>
        <v>0</v>
      </c>
      <c r="H51" s="122"/>
      <c r="I51" s="122"/>
      <c r="J51" s="122"/>
      <c r="K51" s="122"/>
      <c r="L51" s="122"/>
      <c r="M51" s="122"/>
      <c r="N51" s="122"/>
      <c r="O51" s="127"/>
      <c r="P51" s="122"/>
      <c r="Q51" s="122"/>
      <c r="R51" s="122"/>
      <c r="S51" s="122"/>
      <c r="T51" s="122"/>
      <c r="U51" s="122"/>
      <c r="V51" s="122"/>
      <c r="W51" s="68"/>
      <c r="X51" s="68"/>
    </row>
    <row r="52" spans="2:24" ht="15.75" x14ac:dyDescent="0.25">
      <c r="B52" s="156"/>
      <c r="C52" s="122">
        <v>6</v>
      </c>
      <c r="D52" s="123"/>
      <c r="E52" s="123"/>
      <c r="F52" s="129">
        <f t="shared" si="8"/>
        <v>0</v>
      </c>
      <c r="G52" s="158">
        <f t="shared" si="8"/>
        <v>0</v>
      </c>
      <c r="H52" s="122"/>
      <c r="I52" s="122"/>
      <c r="J52" s="122"/>
      <c r="K52" s="122"/>
      <c r="L52" s="122"/>
      <c r="M52" s="122"/>
      <c r="N52" s="122"/>
      <c r="O52" s="127"/>
      <c r="P52" s="122"/>
      <c r="Q52" s="122"/>
      <c r="R52" s="122"/>
      <c r="S52" s="122"/>
      <c r="T52" s="122"/>
      <c r="U52" s="122"/>
      <c r="V52" s="122"/>
      <c r="W52" s="68"/>
      <c r="X52" s="68"/>
    </row>
    <row r="53" spans="2:24" ht="15.75" x14ac:dyDescent="0.25">
      <c r="B53" s="156"/>
      <c r="C53" s="122">
        <v>7</v>
      </c>
      <c r="D53" s="123"/>
      <c r="E53" s="123"/>
      <c r="F53" s="129">
        <f t="shared" si="8"/>
        <v>0</v>
      </c>
      <c r="G53" s="158">
        <f t="shared" si="8"/>
        <v>0</v>
      </c>
      <c r="H53" s="122"/>
      <c r="I53" s="122"/>
      <c r="J53" s="122"/>
      <c r="K53" s="122"/>
      <c r="L53" s="122"/>
      <c r="M53" s="122"/>
      <c r="N53" s="122"/>
      <c r="O53" s="127"/>
      <c r="P53" s="122"/>
      <c r="Q53" s="122"/>
      <c r="R53" s="122"/>
      <c r="S53" s="122"/>
      <c r="T53" s="122"/>
      <c r="U53" s="122"/>
      <c r="V53" s="122"/>
      <c r="W53" s="68"/>
      <c r="X53" s="68"/>
    </row>
    <row r="54" spans="2:24" ht="15.75" x14ac:dyDescent="0.25">
      <c r="B54" s="156"/>
      <c r="C54" s="122">
        <v>8</v>
      </c>
      <c r="D54" s="123"/>
      <c r="E54" s="123"/>
      <c r="F54" s="129">
        <f t="shared" si="8"/>
        <v>0</v>
      </c>
      <c r="G54" s="158">
        <f t="shared" si="8"/>
        <v>0</v>
      </c>
      <c r="H54" s="122"/>
      <c r="I54" s="122"/>
      <c r="J54" s="122"/>
      <c r="K54" s="122"/>
      <c r="L54" s="122"/>
      <c r="M54" s="122"/>
      <c r="N54" s="122"/>
      <c r="O54" s="127"/>
      <c r="P54" s="122"/>
      <c r="Q54" s="122"/>
      <c r="R54" s="122"/>
      <c r="S54" s="122"/>
      <c r="T54" s="122"/>
      <c r="U54" s="122"/>
      <c r="V54" s="122"/>
      <c r="W54" s="68"/>
      <c r="X54" s="68"/>
    </row>
    <row r="55" spans="2:24" ht="15.75" x14ac:dyDescent="0.25">
      <c r="B55" s="156"/>
      <c r="C55" s="122">
        <v>9</v>
      </c>
      <c r="D55" s="123"/>
      <c r="E55" s="123"/>
      <c r="F55" s="129">
        <f t="shared" si="8"/>
        <v>0</v>
      </c>
      <c r="G55" s="158">
        <f t="shared" si="8"/>
        <v>0</v>
      </c>
      <c r="H55" s="122"/>
      <c r="I55" s="122"/>
      <c r="J55" s="122"/>
      <c r="K55" s="122"/>
      <c r="L55" s="122"/>
      <c r="M55" s="122"/>
      <c r="N55" s="122"/>
      <c r="O55" s="127"/>
      <c r="P55" s="122"/>
      <c r="Q55" s="122"/>
      <c r="R55" s="122"/>
      <c r="S55" s="122"/>
      <c r="T55" s="122"/>
      <c r="U55" s="122"/>
      <c r="V55" s="122"/>
      <c r="W55" s="68"/>
      <c r="X55" s="68"/>
    </row>
    <row r="56" spans="2:24" ht="15.75" x14ac:dyDescent="0.25">
      <c r="B56" s="156"/>
      <c r="C56" s="122">
        <v>10</v>
      </c>
      <c r="D56" s="123"/>
      <c r="E56" s="123"/>
      <c r="F56" s="129">
        <f t="shared" si="8"/>
        <v>0</v>
      </c>
      <c r="G56" s="158">
        <f t="shared" si="8"/>
        <v>0</v>
      </c>
      <c r="H56" s="122"/>
      <c r="I56" s="122"/>
      <c r="J56" s="122"/>
      <c r="K56" s="122"/>
      <c r="L56" s="122"/>
      <c r="M56" s="122"/>
      <c r="N56" s="122"/>
      <c r="O56" s="127"/>
      <c r="P56" s="122"/>
      <c r="Q56" s="122"/>
      <c r="R56" s="122"/>
      <c r="S56" s="122"/>
      <c r="T56" s="122"/>
      <c r="U56" s="122"/>
      <c r="V56" s="122"/>
      <c r="W56" s="68"/>
      <c r="X56" s="68"/>
    </row>
    <row r="57" spans="2:24" ht="15.75" x14ac:dyDescent="0.25">
      <c r="B57" s="156"/>
      <c r="C57" s="122">
        <v>11</v>
      </c>
      <c r="D57" s="123"/>
      <c r="E57" s="123"/>
      <c r="F57" s="129">
        <f t="shared" si="8"/>
        <v>0</v>
      </c>
      <c r="G57" s="158">
        <f t="shared" si="8"/>
        <v>0</v>
      </c>
      <c r="H57" s="122"/>
      <c r="I57" s="122"/>
      <c r="J57" s="122"/>
      <c r="K57" s="122"/>
      <c r="L57" s="122"/>
      <c r="M57" s="122"/>
      <c r="N57" s="122"/>
      <c r="O57" s="127"/>
      <c r="P57" s="122"/>
      <c r="Q57" s="122"/>
      <c r="R57" s="122"/>
      <c r="S57" s="122"/>
      <c r="T57" s="122"/>
      <c r="U57" s="122"/>
      <c r="V57" s="122"/>
      <c r="W57" s="68"/>
      <c r="X57" s="68"/>
    </row>
    <row r="58" spans="2:24" ht="15.75" x14ac:dyDescent="0.25">
      <c r="B58" s="156"/>
      <c r="C58" s="122">
        <v>12</v>
      </c>
      <c r="D58" s="123"/>
      <c r="E58" s="123"/>
      <c r="F58" s="129">
        <f t="shared" si="8"/>
        <v>0</v>
      </c>
      <c r="G58" s="158">
        <f t="shared" si="8"/>
        <v>0</v>
      </c>
      <c r="H58" s="122"/>
      <c r="I58" s="122"/>
      <c r="J58" s="122"/>
      <c r="K58" s="122"/>
      <c r="L58" s="122"/>
      <c r="M58" s="122"/>
      <c r="N58" s="122"/>
      <c r="O58" s="127"/>
      <c r="P58" s="122"/>
      <c r="Q58" s="122"/>
      <c r="R58" s="122"/>
      <c r="S58" s="122"/>
      <c r="T58" s="122"/>
      <c r="U58" s="122"/>
      <c r="V58" s="122"/>
      <c r="W58" s="68"/>
      <c r="X58" s="68"/>
    </row>
    <row r="59" spans="2:24" ht="15.75" x14ac:dyDescent="0.25">
      <c r="B59" s="156"/>
      <c r="C59" s="122">
        <v>13</v>
      </c>
      <c r="D59" s="123"/>
      <c r="E59" s="123"/>
      <c r="F59" s="129">
        <f t="shared" si="8"/>
        <v>0</v>
      </c>
      <c r="G59" s="158">
        <f t="shared" si="8"/>
        <v>0</v>
      </c>
      <c r="H59" s="122"/>
      <c r="I59" s="122"/>
      <c r="J59" s="122"/>
      <c r="K59" s="122"/>
      <c r="L59" s="122"/>
      <c r="M59" s="122"/>
      <c r="N59" s="122"/>
      <c r="O59" s="127"/>
      <c r="P59" s="122"/>
      <c r="Q59" s="122"/>
      <c r="R59" s="122"/>
      <c r="S59" s="122"/>
      <c r="T59" s="122"/>
      <c r="U59" s="122"/>
      <c r="V59" s="122"/>
      <c r="W59" s="68"/>
      <c r="X59" s="68"/>
    </row>
    <row r="60" spans="2:24" ht="15.75" x14ac:dyDescent="0.25">
      <c r="B60" s="156"/>
      <c r="C60" s="122">
        <v>14</v>
      </c>
      <c r="D60" s="123"/>
      <c r="E60" s="123"/>
      <c r="F60" s="129">
        <f t="shared" si="8"/>
        <v>0</v>
      </c>
      <c r="G60" s="158">
        <f t="shared" si="8"/>
        <v>0</v>
      </c>
      <c r="H60" s="122"/>
      <c r="I60" s="122"/>
      <c r="J60" s="122"/>
      <c r="K60" s="122"/>
      <c r="L60" s="122"/>
      <c r="M60" s="122"/>
      <c r="N60" s="122"/>
      <c r="O60" s="127"/>
      <c r="P60" s="122"/>
      <c r="Q60" s="122"/>
      <c r="R60" s="122"/>
      <c r="S60" s="122"/>
      <c r="T60" s="122"/>
      <c r="U60" s="122"/>
      <c r="V60" s="122"/>
      <c r="W60" s="68"/>
      <c r="X60" s="68"/>
    </row>
    <row r="61" spans="2:24" x14ac:dyDescent="0.25">
      <c r="B61" s="156"/>
      <c r="C61" s="122">
        <v>15</v>
      </c>
      <c r="D61" s="123"/>
      <c r="E61" s="123"/>
      <c r="F61" s="129">
        <f t="shared" si="8"/>
        <v>0</v>
      </c>
      <c r="G61" s="158">
        <f t="shared" si="8"/>
        <v>0</v>
      </c>
      <c r="H61" s="122"/>
      <c r="I61" s="122"/>
      <c r="J61" s="122"/>
      <c r="K61" s="122"/>
      <c r="L61" s="122"/>
      <c r="M61" s="122"/>
      <c r="N61" s="122"/>
      <c r="O61" s="122"/>
      <c r="P61" s="122"/>
      <c r="Q61" s="122"/>
      <c r="R61" s="122"/>
      <c r="S61" s="122"/>
      <c r="T61" s="122"/>
      <c r="U61" s="122"/>
      <c r="V61" s="122"/>
      <c r="W61" s="68"/>
      <c r="X61" s="68"/>
    </row>
    <row r="62" spans="2:24" ht="15.75" thickBot="1" x14ac:dyDescent="0.3">
      <c r="B62" s="159"/>
      <c r="C62" s="160">
        <v>16</v>
      </c>
      <c r="D62" s="161"/>
      <c r="E62" s="161"/>
      <c r="F62" s="162">
        <f t="shared" si="8"/>
        <v>0</v>
      </c>
      <c r="G62" s="163">
        <f t="shared" si="8"/>
        <v>0</v>
      </c>
      <c r="H62" s="122"/>
      <c r="I62" s="122"/>
      <c r="J62" s="122"/>
      <c r="K62" s="122"/>
      <c r="L62" s="122"/>
      <c r="M62" s="122"/>
      <c r="N62" s="122"/>
      <c r="O62" s="122"/>
      <c r="P62" s="122"/>
      <c r="Q62" s="122"/>
      <c r="R62" s="122"/>
      <c r="S62" s="122"/>
      <c r="T62" s="122"/>
      <c r="U62" s="122"/>
      <c r="V62" s="122"/>
      <c r="W62" s="68"/>
      <c r="X62" s="68"/>
    </row>
    <row r="63" spans="2:24" x14ac:dyDescent="0.25">
      <c r="H63" s="68"/>
      <c r="I63" s="68"/>
      <c r="J63" s="68"/>
      <c r="K63" s="68"/>
      <c r="L63" s="68"/>
      <c r="M63" s="68"/>
      <c r="N63" s="68"/>
      <c r="O63" s="68"/>
      <c r="P63" s="68"/>
      <c r="Q63" s="68"/>
      <c r="R63" s="68"/>
      <c r="S63" s="68"/>
      <c r="T63" s="68"/>
      <c r="U63" s="68"/>
      <c r="V63" s="68"/>
      <c r="W63" s="68"/>
      <c r="X63" s="68"/>
    </row>
    <row r="64" spans="2:24" x14ac:dyDescent="0.25">
      <c r="H64" s="68"/>
      <c r="I64" s="68"/>
      <c r="J64" s="68"/>
      <c r="K64" s="68"/>
      <c r="L64" s="68"/>
      <c r="M64" s="68"/>
      <c r="N64" s="68"/>
      <c r="O64" s="68"/>
      <c r="P64" s="68"/>
      <c r="Q64" s="68"/>
      <c r="R64" s="68"/>
      <c r="S64" s="68"/>
      <c r="T64" s="68"/>
      <c r="U64" s="68"/>
      <c r="V64" s="68"/>
      <c r="W64" s="68"/>
      <c r="X64" s="68"/>
    </row>
    <row r="65" spans="8:24" x14ac:dyDescent="0.25">
      <c r="H65" s="68"/>
      <c r="I65" s="68"/>
      <c r="J65" s="68"/>
      <c r="K65" s="68"/>
      <c r="L65" s="68"/>
      <c r="M65" s="68"/>
      <c r="N65" s="68"/>
      <c r="O65" s="68"/>
      <c r="P65" s="68"/>
      <c r="Q65" s="68"/>
      <c r="R65" s="68"/>
      <c r="S65" s="68"/>
      <c r="T65" s="68"/>
      <c r="U65" s="68"/>
      <c r="V65" s="68"/>
      <c r="W65" s="68"/>
      <c r="X65" s="68"/>
    </row>
    <row r="66" spans="8:24" x14ac:dyDescent="0.25">
      <c r="H66" s="68"/>
      <c r="I66" s="68"/>
      <c r="J66" s="68"/>
      <c r="K66" s="68"/>
      <c r="L66" s="68"/>
      <c r="M66" s="68"/>
      <c r="N66" s="68"/>
      <c r="O66" s="68"/>
      <c r="P66" s="68"/>
      <c r="Q66" s="68"/>
      <c r="R66" s="68"/>
      <c r="S66" s="68"/>
      <c r="T66" s="68"/>
      <c r="U66" s="68"/>
      <c r="V66" s="68"/>
      <c r="W66" s="68"/>
      <c r="X66" s="68"/>
    </row>
    <row r="67" spans="8:24" x14ac:dyDescent="0.25">
      <c r="H67" s="68"/>
      <c r="I67" s="68"/>
      <c r="J67" s="68"/>
      <c r="K67" s="68"/>
      <c r="L67" s="68"/>
      <c r="M67" s="68"/>
      <c r="N67" s="68"/>
      <c r="O67" s="68"/>
      <c r="P67" s="68"/>
      <c r="Q67" s="68"/>
      <c r="R67" s="68"/>
      <c r="S67" s="68"/>
      <c r="T67" s="68"/>
      <c r="U67" s="68"/>
      <c r="V67" s="68"/>
      <c r="W67" s="68"/>
      <c r="X67" s="68"/>
    </row>
    <row r="68" spans="8:24" x14ac:dyDescent="0.25">
      <c r="H68" s="68"/>
      <c r="I68" s="68"/>
      <c r="J68" s="68"/>
      <c r="K68" s="68"/>
      <c r="L68" s="68"/>
      <c r="M68" s="68"/>
      <c r="N68" s="68"/>
      <c r="O68" s="68"/>
      <c r="P68" s="68"/>
      <c r="Q68" s="68"/>
      <c r="R68" s="68"/>
      <c r="S68" s="68"/>
      <c r="T68" s="68"/>
      <c r="U68" s="68"/>
      <c r="V68" s="68"/>
      <c r="W68" s="68"/>
      <c r="X68" s="68"/>
    </row>
    <row r="69" spans="8:24" x14ac:dyDescent="0.25">
      <c r="H69" s="68"/>
      <c r="I69" s="68"/>
      <c r="J69" s="68"/>
      <c r="K69" s="68"/>
      <c r="L69" s="68"/>
      <c r="M69" s="68"/>
      <c r="N69" s="68"/>
      <c r="O69" s="68"/>
      <c r="P69" s="68"/>
      <c r="Q69" s="68"/>
      <c r="R69" s="68"/>
      <c r="S69" s="68"/>
      <c r="T69" s="68"/>
      <c r="U69" s="68"/>
      <c r="V69" s="68"/>
      <c r="W69" s="68"/>
      <c r="X69" s="68"/>
    </row>
    <row r="70" spans="8:24" x14ac:dyDescent="0.25">
      <c r="H70" s="68"/>
      <c r="I70" s="68"/>
      <c r="J70" s="68"/>
      <c r="K70" s="68"/>
      <c r="L70" s="68"/>
      <c r="M70" s="68"/>
      <c r="N70" s="68"/>
      <c r="O70" s="68"/>
      <c r="P70" s="68"/>
      <c r="Q70" s="68"/>
      <c r="R70" s="68"/>
      <c r="S70" s="68"/>
      <c r="T70" s="68"/>
      <c r="U70" s="68"/>
      <c r="V70" s="68"/>
      <c r="W70" s="68"/>
      <c r="X70" s="68"/>
    </row>
    <row r="71" spans="8:24" x14ac:dyDescent="0.25">
      <c r="H71" s="68"/>
      <c r="I71" s="68"/>
      <c r="J71" s="68"/>
      <c r="K71" s="68"/>
      <c r="L71" s="68"/>
      <c r="M71" s="68"/>
      <c r="N71" s="68"/>
      <c r="O71" s="68"/>
      <c r="P71" s="68"/>
      <c r="Q71" s="68"/>
      <c r="R71" s="68"/>
      <c r="S71" s="68"/>
      <c r="T71" s="68"/>
      <c r="U71" s="68"/>
      <c r="V71" s="68"/>
      <c r="W71" s="68"/>
      <c r="X71" s="68"/>
    </row>
    <row r="72" spans="8:24" x14ac:dyDescent="0.25">
      <c r="H72" s="68"/>
      <c r="I72" s="68"/>
      <c r="J72" s="68"/>
      <c r="K72" s="68"/>
      <c r="L72" s="68"/>
      <c r="M72" s="68"/>
      <c r="N72" s="68"/>
      <c r="O72" s="68"/>
      <c r="P72" s="68"/>
      <c r="Q72" s="68"/>
      <c r="R72" s="68"/>
      <c r="S72" s="68"/>
      <c r="T72" s="68"/>
      <c r="U72" s="68"/>
      <c r="V72" s="68"/>
      <c r="W72" s="68"/>
      <c r="X72" s="68"/>
    </row>
    <row r="73" spans="8:24" x14ac:dyDescent="0.25">
      <c r="H73" s="68"/>
      <c r="I73" s="68"/>
      <c r="J73" s="68"/>
      <c r="K73" s="68"/>
      <c r="L73" s="68"/>
      <c r="M73" s="68"/>
      <c r="N73" s="68"/>
      <c r="O73" s="68"/>
      <c r="P73" s="68"/>
      <c r="Q73" s="68"/>
      <c r="R73" s="68"/>
      <c r="S73" s="68"/>
      <c r="T73" s="68"/>
      <c r="U73" s="68"/>
      <c r="V73" s="68"/>
      <c r="W73" s="68"/>
      <c r="X73" s="68"/>
    </row>
  </sheetData>
  <mergeCells count="1">
    <mergeCell ref="I7:W7"/>
  </mergeCells>
  <phoneticPr fontId="57" type="noConversion"/>
  <pageMargins left="0.7" right="0.7" top="0.75" bottom="0.75" header="0.3" footer="0.3"/>
  <pageSetup scale="41" orientation="landscape" r:id="rId1"/>
  <headerFooter>
    <oddHeader>&amp;C&amp;A&amp;R&amp;A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AO73"/>
  <sheetViews>
    <sheetView topLeftCell="A19" zoomScale="60" zoomScaleNormal="60" workbookViewId="0">
      <selection activeCell="B45" sqref="B45"/>
    </sheetView>
  </sheetViews>
  <sheetFormatPr defaultRowHeight="15" x14ac:dyDescent="0.25"/>
  <cols>
    <col min="3" max="4" width="11.5703125" customWidth="1"/>
    <col min="5" max="5" width="13.85546875" customWidth="1"/>
    <col min="6" max="7" width="11.5703125" customWidth="1"/>
    <col min="8" max="8" width="17" customWidth="1"/>
    <col min="9" max="9" width="9.28515625" customWidth="1"/>
    <col min="10" max="10" width="8.85546875" customWidth="1"/>
    <col min="11" max="11" width="8.5703125" customWidth="1"/>
    <col min="12" max="15" width="10.140625" customWidth="1"/>
    <col min="16" max="16" width="11.140625" customWidth="1"/>
    <col min="17" max="17" width="12" customWidth="1"/>
    <col min="18" max="18" width="10.7109375" customWidth="1"/>
    <col min="19" max="22" width="10.140625" customWidth="1"/>
    <col min="26" max="26" width="12.5703125" customWidth="1"/>
  </cols>
  <sheetData>
    <row r="2" spans="2:41" x14ac:dyDescent="0.25">
      <c r="B2" t="s">
        <v>139</v>
      </c>
    </row>
    <row r="3" spans="2:41" ht="15.75" thickBot="1" x14ac:dyDescent="0.3">
      <c r="X3" s="54"/>
      <c r="Y3" s="54"/>
    </row>
    <row r="4" spans="2:41" ht="15.75" thickBot="1" x14ac:dyDescent="0.3">
      <c r="B4" s="55"/>
      <c r="C4" s="56"/>
      <c r="D4" s="56"/>
      <c r="E4" s="56"/>
      <c r="F4" s="56" t="s">
        <v>136</v>
      </c>
      <c r="G4" s="132"/>
      <c r="H4" s="56"/>
      <c r="I4" s="56"/>
      <c r="J4" s="56"/>
      <c r="K4" s="56"/>
      <c r="L4" s="56"/>
      <c r="M4" s="56"/>
      <c r="N4" s="56"/>
      <c r="O4" s="56"/>
      <c r="P4" s="56"/>
      <c r="Q4" s="56"/>
      <c r="R4" s="56"/>
      <c r="S4" s="56"/>
      <c r="T4" s="56"/>
      <c r="U4" s="56"/>
      <c r="V4" s="56"/>
      <c r="W4" s="58"/>
      <c r="X4" s="55"/>
      <c r="Y4" s="58"/>
    </row>
    <row r="5" spans="2:41" ht="110.25" customHeight="1" thickBot="1" x14ac:dyDescent="0.3">
      <c r="B5" s="55"/>
      <c r="C5" s="59" t="s">
        <v>104</v>
      </c>
      <c r="D5" s="59" t="s">
        <v>105</v>
      </c>
      <c r="E5" s="59" t="s">
        <v>106</v>
      </c>
      <c r="F5" s="59" t="s">
        <v>107</v>
      </c>
      <c r="G5" s="60" t="s">
        <v>108</v>
      </c>
      <c r="H5" s="61"/>
      <c r="I5" s="133" t="s">
        <v>109</v>
      </c>
      <c r="J5" s="134" t="s">
        <v>110</v>
      </c>
      <c r="K5" s="134" t="s">
        <v>111</v>
      </c>
      <c r="L5" s="134" t="s">
        <v>112</v>
      </c>
      <c r="M5" s="134" t="s">
        <v>113</v>
      </c>
      <c r="N5" s="134" t="s">
        <v>114</v>
      </c>
      <c r="O5" s="134" t="s">
        <v>115</v>
      </c>
      <c r="P5" s="135" t="s">
        <v>116</v>
      </c>
      <c r="Q5" s="134" t="s">
        <v>117</v>
      </c>
      <c r="R5" s="134" t="s">
        <v>118</v>
      </c>
      <c r="S5" s="135" t="s">
        <v>119</v>
      </c>
      <c r="T5" s="134" t="s">
        <v>120</v>
      </c>
      <c r="U5" s="134" t="s">
        <v>121</v>
      </c>
      <c r="V5" s="136" t="s">
        <v>122</v>
      </c>
      <c r="W5" s="137" t="s">
        <v>123</v>
      </c>
      <c r="X5" s="66" t="s">
        <v>124</v>
      </c>
      <c r="Y5" s="67" t="s">
        <v>125</v>
      </c>
      <c r="AA5" s="118"/>
      <c r="AB5" s="138"/>
      <c r="AC5" s="138"/>
      <c r="AD5" s="138"/>
      <c r="AE5" s="138"/>
      <c r="AF5" s="138"/>
      <c r="AG5" s="138"/>
      <c r="AH5" s="138"/>
      <c r="AI5" s="138"/>
      <c r="AJ5" s="138"/>
      <c r="AK5" s="138"/>
      <c r="AL5" s="138"/>
      <c r="AM5" s="138"/>
      <c r="AN5" s="138"/>
      <c r="AO5" s="139"/>
    </row>
    <row r="6" spans="2:41" ht="20.25" customHeight="1" thickBot="1" x14ac:dyDescent="0.3">
      <c r="B6" s="55"/>
      <c r="C6" s="69"/>
      <c r="D6" s="70">
        <f>SUM(D8:D22)</f>
        <v>0</v>
      </c>
      <c r="E6" s="70">
        <f>SUM(E8:E22)</f>
        <v>0</v>
      </c>
      <c r="F6" s="69"/>
      <c r="G6" s="71"/>
      <c r="H6" s="72" t="s">
        <v>126</v>
      </c>
      <c r="I6" s="140">
        <f>'Allen Co. Labor Wages'!I14</f>
        <v>48.620999999999995</v>
      </c>
      <c r="J6" s="140">
        <f>'Allen Co. Labor Wages'!I15</f>
        <v>48.620999999999995</v>
      </c>
      <c r="K6" s="140">
        <f>'Allen Co. Labor Wages'!I43</f>
        <v>54.163724999999992</v>
      </c>
      <c r="L6" s="140">
        <f>'Allen Co. Labor Wages'!I17</f>
        <v>59.576999999999998</v>
      </c>
      <c r="M6" s="140">
        <f>'Allen Co. Labor Wages'!I37</f>
        <v>57.789000000000001</v>
      </c>
      <c r="N6" s="140">
        <f>'Allen Co. Labor Wages'!I19</f>
        <v>45.515999999999998</v>
      </c>
      <c r="O6" s="140">
        <f>('Allen Co. Labor Wages'!I20+'Allen Co. Labor Wages'!I21)/2</f>
        <v>49.569000000000003</v>
      </c>
      <c r="P6" s="141">
        <f>'Allen Co. Labor Wages'!I21</f>
        <v>44.298000000000002</v>
      </c>
      <c r="Q6" s="140">
        <f>'Allen Co. Labor Wages'!I46</f>
        <v>58.824150000000003</v>
      </c>
      <c r="R6" s="140">
        <f>'Allen Co. Labor Wages'!I45</f>
        <v>64.648237499999993</v>
      </c>
      <c r="S6" s="141">
        <f>'Allen Co. Labor Wages'!I24</f>
        <v>50.504999999999995</v>
      </c>
      <c r="T6" s="140">
        <f>'Allen Co. Labor Wages'!I25</f>
        <v>61.116</v>
      </c>
      <c r="U6" s="140">
        <f>'Allen Co. Labor Wages'!I26</f>
        <v>44.870999999999995</v>
      </c>
      <c r="V6" s="140">
        <f>'Allen Co. Labor Wages'!C31</f>
        <v>50</v>
      </c>
      <c r="W6" s="142">
        <f>'Allen Co. Labor Wages'!I27</f>
        <v>37.152000000000001</v>
      </c>
      <c r="X6" s="75"/>
      <c r="Y6" s="58"/>
      <c r="AA6" s="143"/>
      <c r="AB6" s="80"/>
      <c r="AC6" s="80"/>
      <c r="AD6" s="80"/>
      <c r="AE6" s="80"/>
      <c r="AF6" s="80"/>
      <c r="AG6" s="80"/>
      <c r="AH6" s="80"/>
      <c r="AI6" s="80"/>
      <c r="AJ6" s="80"/>
      <c r="AK6" s="80"/>
      <c r="AL6" s="80"/>
      <c r="AM6" s="80"/>
      <c r="AN6" s="80"/>
      <c r="AO6" s="80"/>
    </row>
    <row r="7" spans="2:41" ht="20.25" customHeight="1" thickBot="1" x14ac:dyDescent="0.3">
      <c r="B7" s="91"/>
      <c r="C7" s="92"/>
      <c r="D7" s="144"/>
      <c r="E7" s="144"/>
      <c r="F7" s="92"/>
      <c r="G7" s="145"/>
      <c r="H7" s="72" t="s">
        <v>127</v>
      </c>
      <c r="I7" s="446" t="s">
        <v>128</v>
      </c>
      <c r="J7" s="447"/>
      <c r="K7" s="447"/>
      <c r="L7" s="447"/>
      <c r="M7" s="447"/>
      <c r="N7" s="447"/>
      <c r="O7" s="447"/>
      <c r="P7" s="447"/>
      <c r="Q7" s="447"/>
      <c r="R7" s="447"/>
      <c r="S7" s="447"/>
      <c r="T7" s="447"/>
      <c r="U7" s="447"/>
      <c r="V7" s="447"/>
      <c r="W7" s="448"/>
      <c r="X7" s="80"/>
      <c r="Y7" s="81"/>
      <c r="AA7" s="143"/>
      <c r="AB7" s="80"/>
      <c r="AC7" s="80"/>
      <c r="AD7" s="80"/>
      <c r="AE7" s="80"/>
      <c r="AF7" s="80"/>
      <c r="AG7" s="80"/>
      <c r="AH7" s="80"/>
      <c r="AI7" s="80"/>
      <c r="AJ7" s="80"/>
      <c r="AK7" s="80"/>
      <c r="AL7" s="80"/>
      <c r="AM7" s="80"/>
      <c r="AN7" s="80"/>
      <c r="AO7" s="80"/>
    </row>
    <row r="8" spans="2:41" ht="15.75" x14ac:dyDescent="0.25">
      <c r="B8" s="91"/>
      <c r="C8" s="92">
        <v>2</v>
      </c>
      <c r="D8" s="93">
        <f t="shared" ref="D8:E22" si="0">$G$4*F8</f>
        <v>0</v>
      </c>
      <c r="E8" s="93">
        <f t="shared" si="0"/>
        <v>0</v>
      </c>
      <c r="F8" s="94">
        <v>0.52</v>
      </c>
      <c r="G8" s="95">
        <f>AVERAGE(G29,G48)</f>
        <v>0</v>
      </c>
      <c r="H8" s="85">
        <f>$G$4*F8</f>
        <v>0</v>
      </c>
      <c r="I8" s="146"/>
      <c r="J8" s="146"/>
      <c r="K8" s="146"/>
      <c r="L8" s="146">
        <v>7.0000000000000007E-2</v>
      </c>
      <c r="M8" s="146"/>
      <c r="N8" s="146">
        <v>0.93</v>
      </c>
      <c r="O8" s="147"/>
      <c r="P8" s="148"/>
      <c r="Q8" s="146"/>
      <c r="R8" s="146"/>
      <c r="S8" s="148"/>
      <c r="T8" s="146"/>
      <c r="U8" s="146"/>
      <c r="V8" s="146"/>
      <c r="W8" s="149"/>
      <c r="X8" s="88">
        <f t="shared" ref="X8:X22" si="1">I8*$I$6+J8*$J$6+K8*$K$6+L8*$L$6+M8*$M$6+N8*$N$6+O8*$O$6+P8*$P$6+Q8*$Q$6+R8*$R$6+S8*$S$6+T8*$T$6+U8*$U$6+W8*$W$6+V8*$V$6</f>
        <v>46.50027</v>
      </c>
      <c r="Y8" s="89">
        <f t="shared" ref="Y8:Y22" si="2">H8/X8</f>
        <v>0</v>
      </c>
      <c r="AA8" s="118"/>
      <c r="AB8" s="150"/>
      <c r="AC8" s="150"/>
      <c r="AD8" s="150"/>
      <c r="AE8" s="150"/>
      <c r="AF8" s="150"/>
      <c r="AG8" s="150"/>
      <c r="AH8" s="147"/>
      <c r="AI8" s="150"/>
      <c r="AJ8" s="150"/>
      <c r="AK8" s="150"/>
      <c r="AL8" s="150"/>
      <c r="AM8" s="150"/>
      <c r="AN8" s="150"/>
      <c r="AO8" s="150"/>
    </row>
    <row r="9" spans="2:41" ht="15.75" x14ac:dyDescent="0.25">
      <c r="B9" s="91"/>
      <c r="C9" s="92">
        <v>3</v>
      </c>
      <c r="D9" s="93">
        <f t="shared" si="0"/>
        <v>0</v>
      </c>
      <c r="E9" s="93">
        <f t="shared" si="0"/>
        <v>0</v>
      </c>
      <c r="F9" s="94">
        <v>0</v>
      </c>
      <c r="G9" s="95">
        <f t="shared" ref="G9:G22" si="3">AVERAGE(G30,G49)</f>
        <v>0</v>
      </c>
      <c r="H9" s="85">
        <f t="shared" ref="H9:H22" si="4">$G$4*F9</f>
        <v>0</v>
      </c>
      <c r="I9" s="146">
        <v>0.28499999999999998</v>
      </c>
      <c r="J9" s="146"/>
      <c r="K9" s="146"/>
      <c r="L9" s="146">
        <v>0.14199999999999999</v>
      </c>
      <c r="M9" s="146">
        <v>0.14199999999999999</v>
      </c>
      <c r="N9" s="146">
        <v>0.28499999999999998</v>
      </c>
      <c r="O9" s="147">
        <v>0.14199999999999999</v>
      </c>
      <c r="P9" s="148"/>
      <c r="Q9" s="146"/>
      <c r="R9" s="146"/>
      <c r="S9" s="148"/>
      <c r="T9" s="146"/>
      <c r="U9" s="146"/>
      <c r="V9" s="146"/>
      <c r="W9" s="149"/>
      <c r="X9" s="88">
        <f t="shared" si="1"/>
        <v>50.533814999999997</v>
      </c>
      <c r="Y9" s="89">
        <f t="shared" si="2"/>
        <v>0</v>
      </c>
      <c r="AA9" s="118"/>
      <c r="AB9" s="150"/>
      <c r="AC9" s="150"/>
      <c r="AD9" s="150"/>
      <c r="AE9" s="150"/>
      <c r="AF9" s="150"/>
      <c r="AG9" s="150"/>
      <c r="AH9" s="147"/>
      <c r="AI9" s="150"/>
      <c r="AJ9" s="150"/>
      <c r="AK9" s="150"/>
      <c r="AL9" s="150"/>
      <c r="AM9" s="150"/>
      <c r="AN9" s="150"/>
      <c r="AO9" s="150"/>
    </row>
    <row r="10" spans="2:41" x14ac:dyDescent="0.25">
      <c r="B10" s="91"/>
      <c r="C10" s="92">
        <v>4</v>
      </c>
      <c r="D10" s="93">
        <f t="shared" si="0"/>
        <v>0</v>
      </c>
      <c r="E10" s="93">
        <f t="shared" si="0"/>
        <v>0</v>
      </c>
      <c r="F10" s="94">
        <v>0</v>
      </c>
      <c r="G10" s="95">
        <f t="shared" si="3"/>
        <v>0</v>
      </c>
      <c r="H10" s="85">
        <f t="shared" si="4"/>
        <v>0</v>
      </c>
      <c r="I10" s="146"/>
      <c r="J10" s="146"/>
      <c r="K10" s="146"/>
      <c r="L10" s="146"/>
      <c r="M10" s="146"/>
      <c r="N10" s="146">
        <v>0.4</v>
      </c>
      <c r="O10" s="146">
        <v>0.6</v>
      </c>
      <c r="P10" s="148"/>
      <c r="Q10" s="146"/>
      <c r="R10" s="146"/>
      <c r="S10" s="148"/>
      <c r="T10" s="146"/>
      <c r="U10" s="146"/>
      <c r="V10" s="146"/>
      <c r="W10" s="149"/>
      <c r="X10" s="88">
        <f t="shared" si="1"/>
        <v>47.947800000000001</v>
      </c>
      <c r="Y10" s="89">
        <f t="shared" si="2"/>
        <v>0</v>
      </c>
      <c r="AA10" s="118"/>
      <c r="AB10" s="150"/>
      <c r="AC10" s="150"/>
      <c r="AD10" s="150"/>
      <c r="AE10" s="150"/>
      <c r="AF10" s="150"/>
      <c r="AG10" s="150"/>
      <c r="AH10" s="150"/>
      <c r="AI10" s="150"/>
      <c r="AJ10" s="150"/>
      <c r="AK10" s="150"/>
      <c r="AL10" s="150"/>
      <c r="AM10" s="150"/>
      <c r="AN10" s="150"/>
      <c r="AO10" s="150"/>
    </row>
    <row r="11" spans="2:41" ht="15.75" x14ac:dyDescent="0.25">
      <c r="B11" s="91"/>
      <c r="C11" s="92">
        <v>5</v>
      </c>
      <c r="D11" s="93">
        <f t="shared" si="0"/>
        <v>0</v>
      </c>
      <c r="E11" s="93">
        <f t="shared" si="0"/>
        <v>0</v>
      </c>
      <c r="F11" s="94">
        <v>0</v>
      </c>
      <c r="G11" s="95">
        <f t="shared" si="3"/>
        <v>0</v>
      </c>
      <c r="H11" s="85">
        <f t="shared" si="4"/>
        <v>0</v>
      </c>
      <c r="I11" s="146">
        <v>1</v>
      </c>
      <c r="J11" s="146"/>
      <c r="K11" s="146"/>
      <c r="L11" s="146"/>
      <c r="M11" s="146"/>
      <c r="N11" s="146"/>
      <c r="O11" s="147"/>
      <c r="P11" s="148"/>
      <c r="Q11" s="146"/>
      <c r="R11" s="146"/>
      <c r="S11" s="148"/>
      <c r="T11" s="146"/>
      <c r="U11" s="146"/>
      <c r="V11" s="146"/>
      <c r="W11" s="149"/>
      <c r="X11" s="88">
        <f t="shared" si="1"/>
        <v>48.620999999999995</v>
      </c>
      <c r="Y11" s="89">
        <f t="shared" si="2"/>
        <v>0</v>
      </c>
      <c r="AA11" s="118"/>
      <c r="AB11" s="150"/>
      <c r="AC11" s="150"/>
      <c r="AD11" s="150"/>
      <c r="AE11" s="150"/>
      <c r="AF11" s="150"/>
      <c r="AG11" s="150"/>
      <c r="AH11" s="147"/>
      <c r="AI11" s="150"/>
      <c r="AJ11" s="150"/>
      <c r="AK11" s="150"/>
      <c r="AL11" s="150"/>
      <c r="AM11" s="150"/>
      <c r="AN11" s="150"/>
      <c r="AO11" s="150"/>
    </row>
    <row r="12" spans="2:41" ht="15.75" x14ac:dyDescent="0.25">
      <c r="B12" s="91"/>
      <c r="C12" s="92">
        <v>6</v>
      </c>
      <c r="D12" s="93">
        <f t="shared" si="0"/>
        <v>0</v>
      </c>
      <c r="E12" s="93">
        <f t="shared" si="0"/>
        <v>0</v>
      </c>
      <c r="F12" s="94">
        <v>0</v>
      </c>
      <c r="G12" s="95">
        <f t="shared" si="3"/>
        <v>0</v>
      </c>
      <c r="H12" s="85">
        <f t="shared" si="4"/>
        <v>0</v>
      </c>
      <c r="I12" s="146">
        <v>1</v>
      </c>
      <c r="J12" s="146"/>
      <c r="K12" s="146"/>
      <c r="L12" s="146"/>
      <c r="M12" s="146"/>
      <c r="N12" s="146"/>
      <c r="O12" s="147"/>
      <c r="P12" s="148"/>
      <c r="Q12" s="146"/>
      <c r="R12" s="146"/>
      <c r="S12" s="148"/>
      <c r="T12" s="146"/>
      <c r="U12" s="146"/>
      <c r="V12" s="146"/>
      <c r="W12" s="149"/>
      <c r="X12" s="88">
        <f t="shared" si="1"/>
        <v>48.620999999999995</v>
      </c>
      <c r="Y12" s="89">
        <f t="shared" si="2"/>
        <v>0</v>
      </c>
      <c r="AA12" s="118"/>
      <c r="AB12" s="150"/>
      <c r="AC12" s="150"/>
      <c r="AD12" s="150"/>
      <c r="AE12" s="150"/>
      <c r="AF12" s="150"/>
      <c r="AG12" s="150"/>
      <c r="AH12" s="147"/>
      <c r="AI12" s="150"/>
      <c r="AJ12" s="150"/>
      <c r="AK12" s="150"/>
      <c r="AL12" s="150"/>
      <c r="AM12" s="150"/>
      <c r="AN12" s="150"/>
      <c r="AO12" s="150"/>
    </row>
    <row r="13" spans="2:41" ht="15.75" x14ac:dyDescent="0.25">
      <c r="B13" s="91"/>
      <c r="C13" s="92">
        <v>7</v>
      </c>
      <c r="D13" s="93">
        <f t="shared" si="0"/>
        <v>0</v>
      </c>
      <c r="E13" s="93">
        <f t="shared" si="0"/>
        <v>0</v>
      </c>
      <c r="F13" s="94">
        <v>0</v>
      </c>
      <c r="G13" s="95">
        <f t="shared" si="3"/>
        <v>0</v>
      </c>
      <c r="H13" s="85">
        <f t="shared" si="4"/>
        <v>0</v>
      </c>
      <c r="I13" s="146">
        <v>0.5</v>
      </c>
      <c r="J13" s="146"/>
      <c r="K13" s="146"/>
      <c r="L13" s="146"/>
      <c r="M13" s="146"/>
      <c r="N13" s="146"/>
      <c r="O13" s="147"/>
      <c r="P13" s="148"/>
      <c r="Q13" s="146"/>
      <c r="R13" s="146"/>
      <c r="S13" s="148"/>
      <c r="T13" s="146"/>
      <c r="U13" s="146"/>
      <c r="V13" s="146"/>
      <c r="W13" s="149">
        <v>0.5</v>
      </c>
      <c r="X13" s="88">
        <f t="shared" si="1"/>
        <v>42.886499999999998</v>
      </c>
      <c r="Y13" s="89">
        <f t="shared" si="2"/>
        <v>0</v>
      </c>
      <c r="AA13" s="118"/>
      <c r="AB13" s="150"/>
      <c r="AC13" s="150"/>
      <c r="AD13" s="150"/>
      <c r="AE13" s="150"/>
      <c r="AF13" s="150"/>
      <c r="AG13" s="150"/>
      <c r="AH13" s="147"/>
      <c r="AI13" s="150"/>
      <c r="AJ13" s="150"/>
      <c r="AK13" s="150"/>
      <c r="AL13" s="150"/>
      <c r="AM13" s="150"/>
      <c r="AN13" s="150"/>
      <c r="AO13" s="150"/>
    </row>
    <row r="14" spans="2:41" ht="15.75" x14ac:dyDescent="0.25">
      <c r="B14" s="91"/>
      <c r="C14" s="92">
        <v>8</v>
      </c>
      <c r="D14" s="93">
        <f t="shared" si="0"/>
        <v>0</v>
      </c>
      <c r="E14" s="93">
        <f t="shared" si="0"/>
        <v>0</v>
      </c>
      <c r="F14" s="94">
        <v>0</v>
      </c>
      <c r="G14" s="95">
        <f t="shared" si="3"/>
        <v>0</v>
      </c>
      <c r="H14" s="85">
        <f t="shared" si="4"/>
        <v>0</v>
      </c>
      <c r="I14" s="146">
        <v>1</v>
      </c>
      <c r="J14" s="146"/>
      <c r="K14" s="146"/>
      <c r="L14" s="146"/>
      <c r="M14" s="146"/>
      <c r="N14" s="146"/>
      <c r="O14" s="147"/>
      <c r="P14" s="148"/>
      <c r="Q14" s="146"/>
      <c r="R14" s="146"/>
      <c r="S14" s="148"/>
      <c r="T14" s="146"/>
      <c r="U14" s="146"/>
      <c r="V14" s="146"/>
      <c r="W14" s="149"/>
      <c r="X14" s="88">
        <f t="shared" si="1"/>
        <v>48.620999999999995</v>
      </c>
      <c r="Y14" s="89">
        <f t="shared" si="2"/>
        <v>0</v>
      </c>
      <c r="AA14" s="118"/>
      <c r="AB14" s="150"/>
      <c r="AC14" s="150"/>
      <c r="AD14" s="150"/>
      <c r="AE14" s="150"/>
      <c r="AF14" s="150"/>
      <c r="AG14" s="150"/>
      <c r="AH14" s="147"/>
      <c r="AI14" s="150"/>
      <c r="AJ14" s="150"/>
      <c r="AK14" s="150"/>
      <c r="AL14" s="150"/>
      <c r="AM14" s="150"/>
      <c r="AN14" s="150"/>
      <c r="AO14" s="150"/>
    </row>
    <row r="15" spans="2:41" ht="15.75" x14ac:dyDescent="0.25">
      <c r="B15" s="91"/>
      <c r="C15" s="92">
        <v>9</v>
      </c>
      <c r="D15" s="93">
        <f t="shared" si="0"/>
        <v>0</v>
      </c>
      <c r="E15" s="93">
        <f t="shared" si="0"/>
        <v>0</v>
      </c>
      <c r="F15" s="94">
        <v>0</v>
      </c>
      <c r="G15" s="95">
        <f t="shared" si="3"/>
        <v>0</v>
      </c>
      <c r="H15" s="85">
        <f t="shared" si="4"/>
        <v>0</v>
      </c>
      <c r="I15" s="146"/>
      <c r="J15" s="146"/>
      <c r="K15" s="146"/>
      <c r="L15" s="146"/>
      <c r="M15" s="146"/>
      <c r="N15" s="146"/>
      <c r="O15" s="147"/>
      <c r="P15" s="148"/>
      <c r="Q15" s="146"/>
      <c r="R15" s="146"/>
      <c r="S15" s="148"/>
      <c r="T15" s="146"/>
      <c r="U15" s="146">
        <v>1</v>
      </c>
      <c r="V15" s="146"/>
      <c r="W15" s="149"/>
      <c r="X15" s="88">
        <f t="shared" si="1"/>
        <v>44.870999999999995</v>
      </c>
      <c r="Y15" s="89">
        <f t="shared" si="2"/>
        <v>0</v>
      </c>
      <c r="AA15" s="118"/>
      <c r="AB15" s="150"/>
      <c r="AC15" s="150"/>
      <c r="AD15" s="150"/>
      <c r="AE15" s="150"/>
      <c r="AF15" s="150"/>
      <c r="AG15" s="150"/>
      <c r="AH15" s="147"/>
      <c r="AI15" s="150"/>
      <c r="AJ15" s="150"/>
      <c r="AK15" s="150"/>
      <c r="AL15" s="150"/>
      <c r="AM15" s="150"/>
      <c r="AN15" s="150"/>
      <c r="AO15" s="150"/>
    </row>
    <row r="16" spans="2:41" ht="15.75" x14ac:dyDescent="0.25">
      <c r="B16" s="91"/>
      <c r="C16" s="92">
        <v>10</v>
      </c>
      <c r="D16" s="93">
        <f t="shared" si="0"/>
        <v>0</v>
      </c>
      <c r="E16" s="93">
        <f t="shared" si="0"/>
        <v>0</v>
      </c>
      <c r="F16" s="94">
        <v>0</v>
      </c>
      <c r="G16" s="95">
        <f t="shared" si="3"/>
        <v>0</v>
      </c>
      <c r="H16" s="85">
        <f t="shared" si="4"/>
        <v>0</v>
      </c>
      <c r="I16" s="146">
        <v>0.5</v>
      </c>
      <c r="J16" s="146"/>
      <c r="K16" s="146"/>
      <c r="L16" s="146"/>
      <c r="M16" s="146"/>
      <c r="N16" s="146"/>
      <c r="O16" s="147"/>
      <c r="P16" s="148"/>
      <c r="Q16" s="146">
        <v>0.5</v>
      </c>
      <c r="R16" s="146"/>
      <c r="S16" s="148"/>
      <c r="T16" s="146"/>
      <c r="U16" s="146"/>
      <c r="V16" s="146"/>
      <c r="W16" s="149"/>
      <c r="X16" s="88">
        <f t="shared" si="1"/>
        <v>53.722574999999999</v>
      </c>
      <c r="Y16" s="89">
        <f t="shared" si="2"/>
        <v>0</v>
      </c>
      <c r="AA16" s="118"/>
      <c r="AB16" s="150"/>
      <c r="AC16" s="150"/>
      <c r="AD16" s="150"/>
      <c r="AE16" s="150"/>
      <c r="AF16" s="150"/>
      <c r="AG16" s="150"/>
      <c r="AH16" s="147"/>
      <c r="AI16" s="150"/>
      <c r="AJ16" s="150"/>
      <c r="AK16" s="150"/>
      <c r="AL16" s="150"/>
      <c r="AM16" s="150"/>
      <c r="AN16" s="150"/>
      <c r="AO16" s="150"/>
    </row>
    <row r="17" spans="2:41" ht="15.75" x14ac:dyDescent="0.25">
      <c r="B17" s="91"/>
      <c r="C17" s="92">
        <v>11</v>
      </c>
      <c r="D17" s="93">
        <f t="shared" si="0"/>
        <v>0</v>
      </c>
      <c r="E17" s="93">
        <f t="shared" si="0"/>
        <v>0</v>
      </c>
      <c r="F17" s="94">
        <v>0</v>
      </c>
      <c r="G17" s="95">
        <f t="shared" si="3"/>
        <v>0</v>
      </c>
      <c r="H17" s="85">
        <f t="shared" si="4"/>
        <v>0</v>
      </c>
      <c r="I17" s="146"/>
      <c r="J17" s="146">
        <v>0.75</v>
      </c>
      <c r="K17" s="146"/>
      <c r="L17" s="146">
        <v>0.25</v>
      </c>
      <c r="M17" s="146"/>
      <c r="N17" s="146"/>
      <c r="O17" s="147"/>
      <c r="P17" s="148"/>
      <c r="Q17" s="146"/>
      <c r="R17" s="146"/>
      <c r="S17" s="148"/>
      <c r="T17" s="146"/>
      <c r="U17" s="146"/>
      <c r="V17" s="146"/>
      <c r="W17" s="149"/>
      <c r="X17" s="88">
        <f t="shared" si="1"/>
        <v>51.36</v>
      </c>
      <c r="Y17" s="89">
        <f t="shared" si="2"/>
        <v>0</v>
      </c>
      <c r="AA17" s="118"/>
      <c r="AB17" s="150"/>
      <c r="AC17" s="150"/>
      <c r="AD17" s="150"/>
      <c r="AE17" s="150"/>
      <c r="AF17" s="150"/>
      <c r="AG17" s="150"/>
      <c r="AH17" s="147"/>
      <c r="AI17" s="150"/>
      <c r="AJ17" s="150"/>
      <c r="AK17" s="150"/>
      <c r="AL17" s="150"/>
      <c r="AM17" s="150"/>
      <c r="AN17" s="150"/>
      <c r="AO17" s="150"/>
    </row>
    <row r="18" spans="2:41" ht="15.75" x14ac:dyDescent="0.25">
      <c r="B18" s="91"/>
      <c r="C18" s="92">
        <v>12</v>
      </c>
      <c r="D18" s="93">
        <f t="shared" si="0"/>
        <v>0</v>
      </c>
      <c r="E18" s="93">
        <f t="shared" si="0"/>
        <v>0</v>
      </c>
      <c r="F18" s="94">
        <v>0</v>
      </c>
      <c r="G18" s="95">
        <f t="shared" si="3"/>
        <v>0</v>
      </c>
      <c r="H18" s="85">
        <f t="shared" si="4"/>
        <v>0</v>
      </c>
      <c r="I18" s="146"/>
      <c r="J18" s="146"/>
      <c r="K18" s="146"/>
      <c r="L18" s="146"/>
      <c r="M18" s="146"/>
      <c r="N18" s="146">
        <v>1</v>
      </c>
      <c r="O18" s="147"/>
      <c r="P18" s="148"/>
      <c r="Q18" s="146"/>
      <c r="R18" s="146"/>
      <c r="S18" s="148"/>
      <c r="T18" s="146"/>
      <c r="U18" s="146"/>
      <c r="V18" s="146"/>
      <c r="W18" s="149"/>
      <c r="X18" s="88">
        <f t="shared" si="1"/>
        <v>45.515999999999998</v>
      </c>
      <c r="Y18" s="89">
        <f t="shared" si="2"/>
        <v>0</v>
      </c>
      <c r="AA18" s="118"/>
      <c r="AB18" s="150"/>
      <c r="AC18" s="150"/>
      <c r="AD18" s="150"/>
      <c r="AE18" s="150"/>
      <c r="AF18" s="150"/>
      <c r="AG18" s="150"/>
      <c r="AH18" s="147"/>
      <c r="AI18" s="150"/>
      <c r="AJ18" s="150"/>
      <c r="AK18" s="150"/>
      <c r="AL18" s="150"/>
      <c r="AM18" s="150"/>
      <c r="AN18" s="150"/>
      <c r="AO18" s="150"/>
    </row>
    <row r="19" spans="2:41" ht="15.75" x14ac:dyDescent="0.25">
      <c r="B19" s="91"/>
      <c r="C19" s="92">
        <v>13</v>
      </c>
      <c r="D19" s="93">
        <f t="shared" si="0"/>
        <v>0</v>
      </c>
      <c r="E19" s="93">
        <f t="shared" si="0"/>
        <v>0</v>
      </c>
      <c r="F19" s="94">
        <v>0</v>
      </c>
      <c r="G19" s="95">
        <f t="shared" si="3"/>
        <v>0</v>
      </c>
      <c r="H19" s="85">
        <f t="shared" si="4"/>
        <v>0</v>
      </c>
      <c r="I19" s="146"/>
      <c r="J19" s="146"/>
      <c r="K19" s="146">
        <v>1</v>
      </c>
      <c r="L19" s="146"/>
      <c r="M19" s="146"/>
      <c r="N19" s="146"/>
      <c r="O19" s="147"/>
      <c r="P19" s="148"/>
      <c r="Q19" s="146"/>
      <c r="R19" s="146"/>
      <c r="S19" s="148"/>
      <c r="T19" s="146"/>
      <c r="U19" s="146"/>
      <c r="V19" s="146"/>
      <c r="W19" s="149"/>
      <c r="X19" s="88">
        <f t="shared" si="1"/>
        <v>54.163724999999992</v>
      </c>
      <c r="Y19" s="89">
        <f t="shared" si="2"/>
        <v>0</v>
      </c>
      <c r="AA19" s="118"/>
      <c r="AB19" s="150"/>
      <c r="AC19" s="150"/>
      <c r="AD19" s="150"/>
      <c r="AE19" s="150"/>
      <c r="AF19" s="150"/>
      <c r="AG19" s="150"/>
      <c r="AH19" s="147"/>
      <c r="AI19" s="150"/>
      <c r="AJ19" s="150"/>
      <c r="AK19" s="150"/>
      <c r="AL19" s="150"/>
      <c r="AM19" s="150"/>
      <c r="AN19" s="150"/>
      <c r="AO19" s="150"/>
    </row>
    <row r="20" spans="2:41" ht="15.75" x14ac:dyDescent="0.25">
      <c r="B20" s="91"/>
      <c r="C20" s="92">
        <v>14</v>
      </c>
      <c r="D20" s="93">
        <f t="shared" si="0"/>
        <v>0</v>
      </c>
      <c r="E20" s="93">
        <f t="shared" si="0"/>
        <v>0</v>
      </c>
      <c r="F20" s="94">
        <v>0</v>
      </c>
      <c r="G20" s="95">
        <f t="shared" si="3"/>
        <v>0</v>
      </c>
      <c r="H20" s="85">
        <f t="shared" si="4"/>
        <v>0</v>
      </c>
      <c r="I20" s="146"/>
      <c r="J20" s="146">
        <v>0.8</v>
      </c>
      <c r="K20" s="146"/>
      <c r="L20" s="146"/>
      <c r="M20" s="146"/>
      <c r="N20" s="146">
        <v>0.2</v>
      </c>
      <c r="O20" s="147"/>
      <c r="P20" s="148"/>
      <c r="Q20" s="146"/>
      <c r="R20" s="146"/>
      <c r="S20" s="148"/>
      <c r="T20" s="146"/>
      <c r="U20" s="146"/>
      <c r="V20" s="146"/>
      <c r="W20" s="149"/>
      <c r="X20" s="88">
        <f t="shared" si="1"/>
        <v>48</v>
      </c>
      <c r="Y20" s="89">
        <f t="shared" si="2"/>
        <v>0</v>
      </c>
      <c r="AA20" s="118"/>
      <c r="AB20" s="150"/>
      <c r="AC20" s="150"/>
      <c r="AD20" s="150"/>
      <c r="AE20" s="150"/>
      <c r="AF20" s="150"/>
      <c r="AG20" s="150"/>
      <c r="AH20" s="147"/>
      <c r="AI20" s="150"/>
      <c r="AJ20" s="150"/>
      <c r="AK20" s="150"/>
      <c r="AL20" s="150"/>
      <c r="AM20" s="150"/>
      <c r="AN20" s="150"/>
      <c r="AO20" s="150"/>
    </row>
    <row r="21" spans="2:41" x14ac:dyDescent="0.25">
      <c r="B21" s="91"/>
      <c r="C21" s="92">
        <v>15</v>
      </c>
      <c r="D21" s="93">
        <f t="shared" si="0"/>
        <v>0</v>
      </c>
      <c r="E21" s="93">
        <f t="shared" si="0"/>
        <v>0</v>
      </c>
      <c r="F21" s="94">
        <v>0</v>
      </c>
      <c r="G21" s="95">
        <f t="shared" si="3"/>
        <v>0</v>
      </c>
      <c r="H21" s="85">
        <f t="shared" si="4"/>
        <v>0</v>
      </c>
      <c r="I21" s="146"/>
      <c r="J21" s="146"/>
      <c r="K21" s="146"/>
      <c r="L21" s="146">
        <v>0.1</v>
      </c>
      <c r="M21" s="146"/>
      <c r="N21" s="146">
        <v>0.1</v>
      </c>
      <c r="O21" s="146"/>
      <c r="P21" s="148"/>
      <c r="Q21" s="146">
        <v>0.31</v>
      </c>
      <c r="R21" s="146">
        <v>0.31</v>
      </c>
      <c r="S21" s="148"/>
      <c r="T21" s="146">
        <v>0.18</v>
      </c>
      <c r="U21" s="146"/>
      <c r="V21" s="146"/>
      <c r="W21" s="149"/>
      <c r="X21" s="88">
        <f t="shared" si="1"/>
        <v>59.786620124999999</v>
      </c>
      <c r="Y21" s="89">
        <f t="shared" si="2"/>
        <v>0</v>
      </c>
      <c r="AA21" s="118"/>
      <c r="AB21" s="150"/>
      <c r="AC21" s="150"/>
      <c r="AD21" s="150"/>
      <c r="AE21" s="150"/>
      <c r="AF21" s="150"/>
      <c r="AG21" s="150"/>
      <c r="AH21" s="150"/>
      <c r="AI21" s="150"/>
      <c r="AJ21" s="150"/>
      <c r="AK21" s="150"/>
      <c r="AL21" s="150"/>
      <c r="AM21" s="150"/>
      <c r="AN21" s="150"/>
      <c r="AO21" s="150"/>
    </row>
    <row r="22" spans="2:41" ht="15.75" thickBot="1" x14ac:dyDescent="0.3">
      <c r="B22" s="96"/>
      <c r="C22" s="97">
        <v>16</v>
      </c>
      <c r="D22" s="98">
        <f t="shared" si="0"/>
        <v>0</v>
      </c>
      <c r="E22" s="98">
        <f t="shared" si="0"/>
        <v>0</v>
      </c>
      <c r="F22" s="99">
        <v>0</v>
      </c>
      <c r="G22" s="100">
        <f t="shared" si="3"/>
        <v>0</v>
      </c>
      <c r="H22" s="101">
        <f t="shared" si="4"/>
        <v>0</v>
      </c>
      <c r="I22" s="146"/>
      <c r="J22" s="146"/>
      <c r="K22" s="146">
        <v>1</v>
      </c>
      <c r="L22" s="146"/>
      <c r="M22" s="146"/>
      <c r="N22" s="146"/>
      <c r="O22" s="146"/>
      <c r="P22" s="148"/>
      <c r="Q22" s="146"/>
      <c r="R22" s="146"/>
      <c r="S22" s="148"/>
      <c r="T22" s="146"/>
      <c r="U22" s="146"/>
      <c r="V22" s="146"/>
      <c r="W22" s="149"/>
      <c r="X22" s="88">
        <f t="shared" si="1"/>
        <v>54.163724999999992</v>
      </c>
      <c r="Y22" s="105">
        <f t="shared" si="2"/>
        <v>0</v>
      </c>
      <c r="AA22" s="118"/>
      <c r="AB22" s="150"/>
      <c r="AC22" s="150"/>
      <c r="AD22" s="150"/>
      <c r="AE22" s="150"/>
      <c r="AF22" s="150"/>
      <c r="AG22" s="150"/>
      <c r="AH22" s="150"/>
      <c r="AI22" s="150"/>
      <c r="AJ22" s="150"/>
      <c r="AK22" s="150"/>
      <c r="AL22" s="150"/>
      <c r="AM22" s="150"/>
      <c r="AN22" s="150"/>
      <c r="AO22" s="150"/>
    </row>
    <row r="23" spans="2:41" x14ac:dyDescent="0.25">
      <c r="E23" s="106" t="s">
        <v>129</v>
      </c>
      <c r="F23" s="107">
        <f>SUM(F8:F22)</f>
        <v>0.52</v>
      </c>
      <c r="G23" s="107">
        <f>SUM(G8:G22)</f>
        <v>0</v>
      </c>
      <c r="H23" s="108" t="s">
        <v>130</v>
      </c>
      <c r="I23" s="109">
        <f t="shared" ref="I23:W23" si="5">I24*I6</f>
        <v>0</v>
      </c>
      <c r="J23" s="109">
        <f t="shared" si="5"/>
        <v>0</v>
      </c>
      <c r="K23" s="109">
        <f t="shared" si="5"/>
        <v>0</v>
      </c>
      <c r="L23" s="109">
        <f t="shared" si="5"/>
        <v>0</v>
      </c>
      <c r="M23" s="109">
        <f t="shared" si="5"/>
        <v>0</v>
      </c>
      <c r="N23" s="109">
        <f t="shared" si="5"/>
        <v>0</v>
      </c>
      <c r="O23" s="109">
        <f t="shared" si="5"/>
        <v>0</v>
      </c>
      <c r="P23" s="109">
        <f t="shared" si="5"/>
        <v>0</v>
      </c>
      <c r="Q23" s="109">
        <f t="shared" si="5"/>
        <v>0</v>
      </c>
      <c r="R23" s="109">
        <f t="shared" si="5"/>
        <v>0</v>
      </c>
      <c r="S23" s="109">
        <f t="shared" si="5"/>
        <v>0</v>
      </c>
      <c r="T23" s="109">
        <f t="shared" si="5"/>
        <v>0</v>
      </c>
      <c r="U23" s="109">
        <f t="shared" si="5"/>
        <v>0</v>
      </c>
      <c r="V23" s="110"/>
      <c r="W23" s="111">
        <f t="shared" si="5"/>
        <v>0</v>
      </c>
      <c r="X23" s="151"/>
      <c r="Y23" s="113"/>
      <c r="AA23" s="118"/>
      <c r="AB23" s="118"/>
      <c r="AC23" s="118"/>
      <c r="AD23" s="118"/>
      <c r="AE23" s="118"/>
      <c r="AF23" s="118"/>
      <c r="AG23" s="118"/>
      <c r="AH23" s="118"/>
      <c r="AI23" s="118"/>
      <c r="AJ23" s="118"/>
      <c r="AK23" s="118"/>
      <c r="AL23" s="118"/>
      <c r="AM23" s="118"/>
      <c r="AN23" s="118"/>
      <c r="AO23" s="118"/>
    </row>
    <row r="24" spans="2:41" ht="15.75" thickBot="1" x14ac:dyDescent="0.3">
      <c r="F24" s="114"/>
      <c r="G24" s="114"/>
      <c r="H24" s="108" t="s">
        <v>131</v>
      </c>
      <c r="I24" s="115">
        <f>I8*$Y$8+I9*$Y$9+I10*$Y$10+I11*$Y$11+I12*$Y$12+I13*$Y$13+I14*$Y$14+I15*$Y$15+I16*$Y$16+I17*$Y$17+I18*$Y$18+I19*$Y$19+I20*$Y$20+I21*$Y$21+I22*$Y$22</f>
        <v>0</v>
      </c>
      <c r="J24" s="115">
        <f t="shared" ref="J24:W24" si="6">J8*$Y$8+J9*$Y$9+J10*$Y$10+J11*$Y$11+J12*$Y$12+J13*$Y$13+J14*$Y$14+J15*$Y$15+J16*$Y$16+J17*$Y$17+J18*$Y$18+J19*$Y$19+J20*$Y$20+J21*$Y$21+J22*$Y$22</f>
        <v>0</v>
      </c>
      <c r="K24" s="115">
        <f t="shared" si="6"/>
        <v>0</v>
      </c>
      <c r="L24" s="115">
        <f t="shared" si="6"/>
        <v>0</v>
      </c>
      <c r="M24" s="115">
        <f t="shared" si="6"/>
        <v>0</v>
      </c>
      <c r="N24" s="115">
        <f t="shared" si="6"/>
        <v>0</v>
      </c>
      <c r="O24" s="115">
        <f t="shared" si="6"/>
        <v>0</v>
      </c>
      <c r="P24" s="115">
        <f t="shared" si="6"/>
        <v>0</v>
      </c>
      <c r="Q24" s="115">
        <f t="shared" si="6"/>
        <v>0</v>
      </c>
      <c r="R24" s="115">
        <f t="shared" si="6"/>
        <v>0</v>
      </c>
      <c r="S24" s="115">
        <f t="shared" si="6"/>
        <v>0</v>
      </c>
      <c r="T24" s="115">
        <f t="shared" si="6"/>
        <v>0</v>
      </c>
      <c r="U24" s="115">
        <f t="shared" si="6"/>
        <v>0</v>
      </c>
      <c r="V24" s="116"/>
      <c r="W24" s="117">
        <f t="shared" si="6"/>
        <v>0</v>
      </c>
      <c r="X24" s="121"/>
      <c r="Y24" s="68"/>
      <c r="AA24" s="68"/>
      <c r="AB24" s="68"/>
      <c r="AC24" s="68"/>
      <c r="AD24" s="68"/>
    </row>
    <row r="25" spans="2:41" ht="15.75" thickBot="1" x14ac:dyDescent="0.3">
      <c r="B25" t="s">
        <v>137</v>
      </c>
      <c r="F25" s="114"/>
      <c r="G25" s="114"/>
      <c r="I25" s="114"/>
      <c r="J25" s="114"/>
      <c r="K25" s="114"/>
      <c r="L25" s="114"/>
      <c r="M25" s="114"/>
      <c r="N25" s="114"/>
      <c r="O25" s="114"/>
      <c r="P25" s="114"/>
      <c r="Q25" s="114"/>
      <c r="R25" s="114"/>
      <c r="S25" s="114"/>
      <c r="T25" s="114"/>
      <c r="U25" s="114"/>
      <c r="V25" s="114"/>
      <c r="Y25" s="68"/>
      <c r="AA25" s="68"/>
      <c r="AB25" s="68"/>
      <c r="AC25" s="68"/>
      <c r="AD25" s="68"/>
    </row>
    <row r="26" spans="2:41" ht="15.75" thickBot="1" x14ac:dyDescent="0.3">
      <c r="B26" s="152"/>
      <c r="H26" s="68"/>
      <c r="I26" s="90"/>
      <c r="J26" s="90"/>
      <c r="K26" s="90"/>
      <c r="L26" s="90"/>
      <c r="M26" s="90"/>
      <c r="N26" s="90"/>
      <c r="O26" s="90"/>
      <c r="P26" s="90"/>
      <c r="Q26" s="90"/>
      <c r="R26" s="90"/>
      <c r="S26" s="90"/>
      <c r="T26" s="90"/>
      <c r="U26" s="90"/>
      <c r="V26" s="90"/>
      <c r="W26" s="90"/>
      <c r="X26" s="90"/>
      <c r="Y26" s="68"/>
      <c r="AA26" s="68"/>
      <c r="AB26" s="68"/>
      <c r="AC26" s="68"/>
      <c r="AD26" s="68"/>
    </row>
    <row r="27" spans="2:41" ht="15.75" thickBot="1" x14ac:dyDescent="0.3">
      <c r="B27" s="152"/>
      <c r="C27" s="153"/>
      <c r="D27" s="153" t="s">
        <v>136</v>
      </c>
      <c r="E27" s="153"/>
      <c r="F27" s="154">
        <v>1</v>
      </c>
      <c r="G27" s="155"/>
      <c r="H27" s="122"/>
      <c r="I27" s="122"/>
      <c r="J27" s="122"/>
      <c r="K27" s="122"/>
      <c r="L27" s="122"/>
      <c r="M27" s="122"/>
      <c r="N27" s="122"/>
      <c r="O27" s="122"/>
      <c r="P27" s="122"/>
      <c r="Q27" s="122"/>
      <c r="R27" s="122"/>
      <c r="S27" s="122"/>
      <c r="T27" s="122"/>
      <c r="U27" s="122"/>
      <c r="V27" s="122"/>
      <c r="W27" s="68"/>
      <c r="X27" s="68"/>
      <c r="Y27" s="68"/>
      <c r="AA27" s="68"/>
      <c r="AB27" s="68"/>
      <c r="AC27" s="68"/>
    </row>
    <row r="28" spans="2:41" ht="15.75" x14ac:dyDescent="0.25">
      <c r="B28" s="156"/>
      <c r="C28" s="122" t="s">
        <v>104</v>
      </c>
      <c r="D28" s="122" t="s">
        <v>105</v>
      </c>
      <c r="E28" s="122" t="s">
        <v>138</v>
      </c>
      <c r="F28" s="122" t="s">
        <v>107</v>
      </c>
      <c r="G28" s="157" t="s">
        <v>108</v>
      </c>
      <c r="H28" s="122"/>
      <c r="I28" s="126"/>
      <c r="J28" s="126"/>
      <c r="K28" s="126"/>
      <c r="L28" s="126"/>
      <c r="M28" s="126"/>
      <c r="N28" s="126"/>
      <c r="O28" s="126"/>
      <c r="P28" s="126"/>
      <c r="Q28" s="126"/>
      <c r="R28" s="126"/>
      <c r="S28" s="126"/>
      <c r="T28" s="126"/>
      <c r="U28" s="126"/>
      <c r="V28" s="126"/>
      <c r="W28" s="68"/>
      <c r="X28" s="68"/>
      <c r="AA28" s="68"/>
    </row>
    <row r="29" spans="2:41" ht="15.75" x14ac:dyDescent="0.25">
      <c r="B29" s="156"/>
      <c r="C29" s="122">
        <v>2</v>
      </c>
      <c r="D29" s="123"/>
      <c r="E29" s="123"/>
      <c r="F29" s="129">
        <v>0.495</v>
      </c>
      <c r="G29" s="158">
        <f>E29/$F$27</f>
        <v>0</v>
      </c>
      <c r="H29" s="122"/>
      <c r="I29" s="122"/>
      <c r="J29" s="122"/>
      <c r="K29" s="122"/>
      <c r="L29" s="122"/>
      <c r="M29" s="122"/>
      <c r="N29" s="122"/>
      <c r="O29" s="127"/>
      <c r="P29" s="122"/>
      <c r="Q29" s="122"/>
      <c r="R29" s="122"/>
      <c r="S29" s="122"/>
      <c r="T29" s="122"/>
      <c r="U29" s="122"/>
      <c r="V29" s="122"/>
      <c r="W29" s="68"/>
      <c r="X29" s="68"/>
      <c r="AA29" s="68"/>
    </row>
    <row r="30" spans="2:41" ht="15.75" x14ac:dyDescent="0.25">
      <c r="B30" s="156"/>
      <c r="C30" s="122">
        <v>3</v>
      </c>
      <c r="D30" s="123"/>
      <c r="E30" s="123"/>
      <c r="F30" s="129">
        <f t="shared" ref="F30:G43" si="7">D30/$F$27</f>
        <v>0</v>
      </c>
      <c r="G30" s="158">
        <f t="shared" si="7"/>
        <v>0</v>
      </c>
      <c r="H30" s="122"/>
      <c r="I30" s="122"/>
      <c r="J30" s="122"/>
      <c r="K30" s="122"/>
      <c r="L30" s="122"/>
      <c r="M30" s="122"/>
      <c r="N30" s="122"/>
      <c r="O30" s="127"/>
      <c r="P30" s="122"/>
      <c r="Q30" s="122"/>
      <c r="R30" s="122"/>
      <c r="S30" s="122"/>
      <c r="T30" s="122"/>
      <c r="U30" s="122"/>
      <c r="V30" s="122"/>
      <c r="W30" s="68"/>
      <c r="X30" s="68"/>
      <c r="AA30" s="68"/>
    </row>
    <row r="31" spans="2:41" ht="15.75" x14ac:dyDescent="0.25">
      <c r="B31" s="156"/>
      <c r="C31" s="122">
        <v>4</v>
      </c>
      <c r="D31" s="123"/>
      <c r="E31" s="123"/>
      <c r="F31" s="129">
        <f t="shared" si="7"/>
        <v>0</v>
      </c>
      <c r="G31" s="158">
        <f t="shared" si="7"/>
        <v>0</v>
      </c>
      <c r="H31" s="122"/>
      <c r="I31" s="122"/>
      <c r="J31" s="122"/>
      <c r="K31" s="122"/>
      <c r="L31" s="122"/>
      <c r="M31" s="122"/>
      <c r="N31" s="122"/>
      <c r="O31" s="127"/>
      <c r="P31" s="122"/>
      <c r="Q31" s="122"/>
      <c r="R31" s="122"/>
      <c r="S31" s="122"/>
      <c r="T31" s="122"/>
      <c r="U31" s="122"/>
      <c r="V31" s="122"/>
      <c r="W31" s="68"/>
      <c r="X31" s="68"/>
      <c r="AA31" s="68"/>
    </row>
    <row r="32" spans="2:41" ht="15.75" x14ac:dyDescent="0.25">
      <c r="B32" s="156"/>
      <c r="C32" s="122">
        <v>5</v>
      </c>
      <c r="D32" s="123"/>
      <c r="E32" s="123"/>
      <c r="F32" s="129">
        <f t="shared" si="7"/>
        <v>0</v>
      </c>
      <c r="G32" s="158">
        <f t="shared" si="7"/>
        <v>0</v>
      </c>
      <c r="H32" s="122"/>
      <c r="I32" s="122"/>
      <c r="J32" s="122"/>
      <c r="K32" s="122"/>
      <c r="L32" s="122"/>
      <c r="M32" s="122"/>
      <c r="N32" s="122"/>
      <c r="O32" s="127"/>
      <c r="P32" s="122"/>
      <c r="Q32" s="122"/>
      <c r="R32" s="122"/>
      <c r="S32" s="122"/>
      <c r="T32" s="122"/>
      <c r="U32" s="122"/>
      <c r="V32" s="122"/>
      <c r="W32" s="68"/>
      <c r="X32" s="68"/>
      <c r="AA32" s="68"/>
    </row>
    <row r="33" spans="2:27" ht="15.75" x14ac:dyDescent="0.25">
      <c r="B33" s="156"/>
      <c r="C33" s="122">
        <v>6</v>
      </c>
      <c r="D33" s="123"/>
      <c r="E33" s="123"/>
      <c r="F33" s="129">
        <f t="shared" si="7"/>
        <v>0</v>
      </c>
      <c r="G33" s="158">
        <f t="shared" si="7"/>
        <v>0</v>
      </c>
      <c r="H33" s="122"/>
      <c r="I33" s="122"/>
      <c r="J33" s="122"/>
      <c r="K33" s="122"/>
      <c r="L33" s="122"/>
      <c r="M33" s="122"/>
      <c r="N33" s="122"/>
      <c r="O33" s="127"/>
      <c r="P33" s="122"/>
      <c r="Q33" s="122"/>
      <c r="R33" s="122"/>
      <c r="S33" s="122"/>
      <c r="T33" s="122"/>
      <c r="U33" s="122"/>
      <c r="V33" s="122"/>
      <c r="W33" s="68"/>
      <c r="X33" s="68"/>
      <c r="AA33" s="68"/>
    </row>
    <row r="34" spans="2:27" ht="15.75" x14ac:dyDescent="0.25">
      <c r="B34" s="156"/>
      <c r="C34" s="122">
        <v>7</v>
      </c>
      <c r="D34" s="123"/>
      <c r="E34" s="123"/>
      <c r="F34" s="129">
        <f t="shared" si="7"/>
        <v>0</v>
      </c>
      <c r="G34" s="158">
        <f t="shared" si="7"/>
        <v>0</v>
      </c>
      <c r="H34" s="122"/>
      <c r="I34" s="122"/>
      <c r="J34" s="122"/>
      <c r="K34" s="122"/>
      <c r="L34" s="128"/>
      <c r="M34" s="122"/>
      <c r="N34" s="122"/>
      <c r="O34" s="127"/>
      <c r="P34" s="122"/>
      <c r="Q34" s="122"/>
      <c r="R34" s="122"/>
      <c r="S34" s="122"/>
      <c r="T34" s="122"/>
      <c r="U34" s="122"/>
      <c r="V34" s="122"/>
      <c r="W34" s="68"/>
      <c r="X34" s="68"/>
      <c r="AA34" s="68"/>
    </row>
    <row r="35" spans="2:27" ht="15.75" x14ac:dyDescent="0.25">
      <c r="B35" s="156"/>
      <c r="C35" s="122">
        <v>8</v>
      </c>
      <c r="D35" s="123"/>
      <c r="E35" s="123"/>
      <c r="F35" s="129">
        <f t="shared" si="7"/>
        <v>0</v>
      </c>
      <c r="G35" s="158">
        <f t="shared" si="7"/>
        <v>0</v>
      </c>
      <c r="H35" s="122"/>
      <c r="I35" s="122"/>
      <c r="J35" s="122"/>
      <c r="K35" s="122"/>
      <c r="L35" s="122"/>
      <c r="M35" s="122"/>
      <c r="N35" s="122"/>
      <c r="O35" s="127"/>
      <c r="P35" s="122"/>
      <c r="Q35" s="122"/>
      <c r="R35" s="122"/>
      <c r="S35" s="122"/>
      <c r="T35" s="122"/>
      <c r="U35" s="122"/>
      <c r="V35" s="122"/>
      <c r="W35" s="68"/>
      <c r="X35" s="68"/>
      <c r="AA35" s="68"/>
    </row>
    <row r="36" spans="2:27" ht="15.75" x14ac:dyDescent="0.25">
      <c r="B36" s="156"/>
      <c r="C36" s="122">
        <v>9</v>
      </c>
      <c r="D36" s="123"/>
      <c r="E36" s="123"/>
      <c r="F36" s="129">
        <f t="shared" si="7"/>
        <v>0</v>
      </c>
      <c r="G36" s="158">
        <f t="shared" si="7"/>
        <v>0</v>
      </c>
      <c r="H36" s="122"/>
      <c r="I36" s="122"/>
      <c r="J36" s="122"/>
      <c r="K36" s="122"/>
      <c r="L36" s="122"/>
      <c r="M36" s="122"/>
      <c r="N36" s="122"/>
      <c r="O36" s="127"/>
      <c r="P36" s="122"/>
      <c r="Q36" s="122"/>
      <c r="R36" s="122"/>
      <c r="S36" s="122"/>
      <c r="T36" s="122"/>
      <c r="U36" s="122"/>
      <c r="V36" s="122"/>
      <c r="W36" s="68"/>
      <c r="X36" s="68"/>
      <c r="AA36" s="68"/>
    </row>
    <row r="37" spans="2:27" ht="15.75" x14ac:dyDescent="0.25">
      <c r="B37" s="156"/>
      <c r="C37" s="122">
        <v>10</v>
      </c>
      <c r="D37" s="123"/>
      <c r="E37" s="123"/>
      <c r="F37" s="129">
        <f t="shared" si="7"/>
        <v>0</v>
      </c>
      <c r="G37" s="158">
        <f t="shared" si="7"/>
        <v>0</v>
      </c>
      <c r="H37" s="122"/>
      <c r="I37" s="122"/>
      <c r="J37" s="122"/>
      <c r="K37" s="122"/>
      <c r="L37" s="122"/>
      <c r="M37" s="122"/>
      <c r="N37" s="122"/>
      <c r="O37" s="127"/>
      <c r="P37" s="122"/>
      <c r="Q37" s="122"/>
      <c r="R37" s="122"/>
      <c r="S37" s="122"/>
      <c r="T37" s="122"/>
      <c r="U37" s="122"/>
      <c r="V37" s="122"/>
      <c r="W37" s="68"/>
      <c r="X37" s="68"/>
      <c r="AA37" s="68"/>
    </row>
    <row r="38" spans="2:27" ht="15.75" x14ac:dyDescent="0.25">
      <c r="B38" s="156"/>
      <c r="C38" s="122">
        <v>11</v>
      </c>
      <c r="D38" s="123"/>
      <c r="E38" s="123"/>
      <c r="F38" s="129">
        <f t="shared" si="7"/>
        <v>0</v>
      </c>
      <c r="G38" s="158">
        <f t="shared" si="7"/>
        <v>0</v>
      </c>
      <c r="H38" s="122"/>
      <c r="I38" s="122"/>
      <c r="J38" s="122"/>
      <c r="K38" s="122"/>
      <c r="L38" s="122"/>
      <c r="M38" s="122"/>
      <c r="N38" s="122"/>
      <c r="O38" s="127"/>
      <c r="P38" s="122"/>
      <c r="Q38" s="122"/>
      <c r="R38" s="122"/>
      <c r="S38" s="122"/>
      <c r="T38" s="122"/>
      <c r="U38" s="122"/>
      <c r="V38" s="122"/>
      <c r="W38" s="68"/>
      <c r="X38" s="68"/>
      <c r="AA38" s="68"/>
    </row>
    <row r="39" spans="2:27" ht="15.75" x14ac:dyDescent="0.25">
      <c r="B39" s="156"/>
      <c r="C39" s="122">
        <v>12</v>
      </c>
      <c r="D39" s="123"/>
      <c r="E39" s="123"/>
      <c r="F39" s="129">
        <f t="shared" si="7"/>
        <v>0</v>
      </c>
      <c r="G39" s="158">
        <f t="shared" si="7"/>
        <v>0</v>
      </c>
      <c r="H39" s="122"/>
      <c r="I39" s="122"/>
      <c r="J39" s="122"/>
      <c r="K39" s="122"/>
      <c r="L39" s="122"/>
      <c r="M39" s="122"/>
      <c r="N39" s="122"/>
      <c r="O39" s="127"/>
      <c r="P39" s="122"/>
      <c r="Q39" s="122"/>
      <c r="R39" s="122"/>
      <c r="S39" s="122"/>
      <c r="T39" s="122"/>
      <c r="U39" s="122"/>
      <c r="V39" s="122"/>
      <c r="W39" s="68"/>
      <c r="X39" s="68"/>
    </row>
    <row r="40" spans="2:27" ht="15.75" x14ac:dyDescent="0.25">
      <c r="B40" s="156"/>
      <c r="C40" s="122">
        <v>13</v>
      </c>
      <c r="D40" s="123"/>
      <c r="E40" s="123"/>
      <c r="F40" s="129">
        <f t="shared" si="7"/>
        <v>0</v>
      </c>
      <c r="G40" s="158">
        <f t="shared" si="7"/>
        <v>0</v>
      </c>
      <c r="H40" s="122"/>
      <c r="I40" s="122"/>
      <c r="J40" s="122"/>
      <c r="K40" s="122"/>
      <c r="L40" s="122"/>
      <c r="M40" s="122"/>
      <c r="N40" s="122"/>
      <c r="O40" s="127"/>
      <c r="P40" s="122"/>
      <c r="Q40" s="122"/>
      <c r="R40" s="122"/>
      <c r="S40" s="122"/>
      <c r="T40" s="122"/>
      <c r="U40" s="122"/>
      <c r="V40" s="122"/>
      <c r="W40" s="68"/>
      <c r="X40" s="68"/>
    </row>
    <row r="41" spans="2:27" ht="15.75" x14ac:dyDescent="0.25">
      <c r="B41" s="156"/>
      <c r="C41" s="122">
        <v>14</v>
      </c>
      <c r="D41" s="123"/>
      <c r="E41" s="123"/>
      <c r="F41" s="129">
        <f t="shared" si="7"/>
        <v>0</v>
      </c>
      <c r="G41" s="158">
        <f t="shared" si="7"/>
        <v>0</v>
      </c>
      <c r="H41" s="122"/>
      <c r="I41" s="122"/>
      <c r="J41" s="122"/>
      <c r="K41" s="122"/>
      <c r="L41" s="122"/>
      <c r="M41" s="122"/>
      <c r="N41" s="122"/>
      <c r="O41" s="127"/>
      <c r="P41" s="122"/>
      <c r="Q41" s="122"/>
      <c r="R41" s="122"/>
      <c r="S41" s="122"/>
      <c r="T41" s="122"/>
      <c r="U41" s="122"/>
      <c r="V41" s="122"/>
      <c r="W41" s="68"/>
      <c r="X41" s="68"/>
    </row>
    <row r="42" spans="2:27" x14ac:dyDescent="0.25">
      <c r="B42" s="156"/>
      <c r="C42" s="122">
        <v>15</v>
      </c>
      <c r="D42" s="123"/>
      <c r="E42" s="123"/>
      <c r="F42" s="129">
        <f t="shared" si="7"/>
        <v>0</v>
      </c>
      <c r="G42" s="158">
        <f t="shared" si="7"/>
        <v>0</v>
      </c>
      <c r="H42" s="122"/>
      <c r="I42" s="122"/>
      <c r="J42" s="122"/>
      <c r="K42" s="122"/>
      <c r="L42" s="122"/>
      <c r="M42" s="122"/>
      <c r="N42" s="122"/>
      <c r="O42" s="122"/>
      <c r="P42" s="122"/>
      <c r="Q42" s="122"/>
      <c r="R42" s="122"/>
      <c r="S42" s="122"/>
      <c r="T42" s="122"/>
      <c r="U42" s="122"/>
      <c r="V42" s="122"/>
      <c r="W42" s="68"/>
      <c r="X42" s="68"/>
    </row>
    <row r="43" spans="2:27" ht="15.75" thickBot="1" x14ac:dyDescent="0.3">
      <c r="B43" s="159"/>
      <c r="C43" s="160">
        <v>16</v>
      </c>
      <c r="D43" s="161"/>
      <c r="E43" s="161"/>
      <c r="F43" s="162">
        <f t="shared" si="7"/>
        <v>0</v>
      </c>
      <c r="G43" s="163">
        <f t="shared" si="7"/>
        <v>0</v>
      </c>
      <c r="H43" s="122"/>
      <c r="I43" s="122"/>
      <c r="J43" s="122"/>
      <c r="K43" s="122"/>
      <c r="L43" s="122"/>
      <c r="M43" s="122"/>
      <c r="N43" s="122"/>
      <c r="O43" s="122"/>
      <c r="P43" s="122"/>
      <c r="Q43" s="122"/>
      <c r="R43" s="122"/>
      <c r="S43" s="122"/>
      <c r="T43" s="122"/>
      <c r="U43" s="122"/>
      <c r="V43" s="122"/>
      <c r="W43" s="68"/>
      <c r="X43" s="68"/>
    </row>
    <row r="44" spans="2:27" ht="15.75" thickBot="1" x14ac:dyDescent="0.3">
      <c r="B44" s="164"/>
      <c r="C44" s="164"/>
      <c r="D44" s="164"/>
      <c r="E44" s="164"/>
      <c r="F44" s="164"/>
      <c r="G44" s="164"/>
      <c r="H44" s="122"/>
      <c r="I44" s="122"/>
      <c r="J44" s="122"/>
      <c r="K44" s="122"/>
      <c r="L44" s="122"/>
      <c r="M44" s="122"/>
      <c r="N44" s="122"/>
      <c r="O44" s="122"/>
      <c r="P44" s="122"/>
      <c r="Q44" s="122"/>
      <c r="R44" s="122"/>
      <c r="S44" s="122"/>
      <c r="T44" s="122"/>
      <c r="U44" s="122"/>
      <c r="V44" s="122"/>
      <c r="W44" s="68"/>
      <c r="X44" s="68"/>
    </row>
    <row r="45" spans="2:27" ht="15.75" thickBot="1" x14ac:dyDescent="0.3">
      <c r="B45" s="152"/>
      <c r="C45" s="164"/>
      <c r="D45" s="164"/>
      <c r="E45" s="164"/>
      <c r="F45" s="164"/>
      <c r="G45" s="164"/>
      <c r="H45" s="122"/>
      <c r="I45" s="122"/>
      <c r="J45" s="122"/>
      <c r="K45" s="122"/>
      <c r="L45" s="122"/>
      <c r="M45" s="122"/>
      <c r="N45" s="122"/>
      <c r="O45" s="122"/>
      <c r="P45" s="122"/>
      <c r="Q45" s="122"/>
      <c r="R45" s="122"/>
      <c r="S45" s="122"/>
      <c r="T45" s="122"/>
      <c r="U45" s="122"/>
      <c r="V45" s="122"/>
      <c r="W45" s="68"/>
      <c r="X45" s="68"/>
    </row>
    <row r="46" spans="2:27" ht="15.75" thickBot="1" x14ac:dyDescent="0.3">
      <c r="B46" s="152"/>
      <c r="C46" s="153"/>
      <c r="D46" s="153" t="s">
        <v>136</v>
      </c>
      <c r="E46" s="153"/>
      <c r="F46" s="154">
        <v>1</v>
      </c>
      <c r="G46" s="155"/>
      <c r="H46" s="122"/>
      <c r="I46" s="122"/>
      <c r="J46" s="122"/>
      <c r="K46" s="122"/>
      <c r="L46" s="122"/>
      <c r="M46" s="122"/>
      <c r="N46" s="122"/>
      <c r="O46" s="122"/>
      <c r="P46" s="122"/>
      <c r="Q46" s="122"/>
      <c r="R46" s="122"/>
      <c r="S46" s="122"/>
      <c r="T46" s="122"/>
      <c r="U46" s="122"/>
      <c r="V46" s="122"/>
      <c r="W46" s="68"/>
      <c r="X46" s="68"/>
    </row>
    <row r="47" spans="2:27" ht="15.75" x14ac:dyDescent="0.25">
      <c r="B47" s="156"/>
      <c r="C47" s="130" t="s">
        <v>104</v>
      </c>
      <c r="D47" s="130" t="s">
        <v>105</v>
      </c>
      <c r="E47" s="130" t="s">
        <v>138</v>
      </c>
      <c r="F47" s="130" t="s">
        <v>107</v>
      </c>
      <c r="G47" s="165" t="s">
        <v>108</v>
      </c>
      <c r="H47" s="122"/>
      <c r="I47" s="126"/>
      <c r="J47" s="126"/>
      <c r="K47" s="126"/>
      <c r="L47" s="126"/>
      <c r="M47" s="126"/>
      <c r="N47" s="126"/>
      <c r="O47" s="126"/>
      <c r="P47" s="126"/>
      <c r="Q47" s="126"/>
      <c r="R47" s="126"/>
      <c r="S47" s="126"/>
      <c r="T47" s="126"/>
      <c r="U47" s="126"/>
      <c r="V47" s="126"/>
      <c r="W47" s="68"/>
      <c r="X47" s="68"/>
    </row>
    <row r="48" spans="2:27" ht="15.75" x14ac:dyDescent="0.25">
      <c r="B48" s="156"/>
      <c r="C48" s="122">
        <v>2</v>
      </c>
      <c r="D48" s="123"/>
      <c r="E48" s="123"/>
      <c r="F48" s="129">
        <v>0.59</v>
      </c>
      <c r="G48" s="158">
        <f>E48/$F$46</f>
        <v>0</v>
      </c>
      <c r="H48" s="122"/>
      <c r="I48" s="122"/>
      <c r="J48" s="122"/>
      <c r="K48" s="122"/>
      <c r="L48" s="122"/>
      <c r="M48" s="122"/>
      <c r="N48" s="122"/>
      <c r="O48" s="127"/>
      <c r="P48" s="122"/>
      <c r="Q48" s="122"/>
      <c r="R48" s="122"/>
      <c r="S48" s="122"/>
      <c r="T48" s="122"/>
      <c r="U48" s="122"/>
      <c r="V48" s="122"/>
      <c r="W48" s="68"/>
      <c r="X48" s="68"/>
    </row>
    <row r="49" spans="2:24" ht="15.75" x14ac:dyDescent="0.25">
      <c r="B49" s="156"/>
      <c r="C49" s="122">
        <v>3</v>
      </c>
      <c r="D49" s="123"/>
      <c r="E49" s="123"/>
      <c r="F49" s="129">
        <f t="shared" ref="F49:G62" si="8">D49/$F$46</f>
        <v>0</v>
      </c>
      <c r="G49" s="158">
        <f t="shared" si="8"/>
        <v>0</v>
      </c>
      <c r="H49" s="122"/>
      <c r="I49" s="122"/>
      <c r="J49" s="122"/>
      <c r="K49" s="122"/>
      <c r="L49" s="122"/>
      <c r="M49" s="122"/>
      <c r="N49" s="122"/>
      <c r="O49" s="127"/>
      <c r="P49" s="122"/>
      <c r="Q49" s="122"/>
      <c r="R49" s="122"/>
      <c r="S49" s="122"/>
      <c r="T49" s="122"/>
      <c r="U49" s="122"/>
      <c r="V49" s="122"/>
      <c r="W49" s="68"/>
      <c r="X49" s="68"/>
    </row>
    <row r="50" spans="2:24" ht="15.75" x14ac:dyDescent="0.25">
      <c r="B50" s="156"/>
      <c r="C50" s="122">
        <v>4</v>
      </c>
      <c r="D50" s="123"/>
      <c r="E50" s="123"/>
      <c r="F50" s="129">
        <f t="shared" si="8"/>
        <v>0</v>
      </c>
      <c r="G50" s="158">
        <f t="shared" si="8"/>
        <v>0</v>
      </c>
      <c r="H50" s="122"/>
      <c r="I50" s="122"/>
      <c r="J50" s="122"/>
      <c r="K50" s="122"/>
      <c r="L50" s="122"/>
      <c r="M50" s="122"/>
      <c r="N50" s="122"/>
      <c r="O50" s="127"/>
      <c r="P50" s="122"/>
      <c r="Q50" s="122"/>
      <c r="R50" s="122"/>
      <c r="S50" s="122"/>
      <c r="T50" s="122"/>
      <c r="U50" s="122"/>
      <c r="V50" s="122"/>
      <c r="W50" s="68"/>
      <c r="X50" s="68"/>
    </row>
    <row r="51" spans="2:24" ht="15.75" x14ac:dyDescent="0.25">
      <c r="B51" s="156"/>
      <c r="C51" s="122">
        <v>5</v>
      </c>
      <c r="D51" s="123"/>
      <c r="E51" s="123"/>
      <c r="F51" s="129">
        <f t="shared" si="8"/>
        <v>0</v>
      </c>
      <c r="G51" s="158">
        <f t="shared" si="8"/>
        <v>0</v>
      </c>
      <c r="H51" s="122"/>
      <c r="I51" s="122"/>
      <c r="J51" s="122"/>
      <c r="K51" s="122"/>
      <c r="L51" s="122"/>
      <c r="M51" s="122"/>
      <c r="N51" s="122"/>
      <c r="O51" s="127"/>
      <c r="P51" s="122"/>
      <c r="Q51" s="122"/>
      <c r="R51" s="122"/>
      <c r="S51" s="122"/>
      <c r="T51" s="122"/>
      <c r="U51" s="122"/>
      <c r="V51" s="122"/>
      <c r="W51" s="68"/>
      <c r="X51" s="68"/>
    </row>
    <row r="52" spans="2:24" ht="15.75" x14ac:dyDescent="0.25">
      <c r="B52" s="156"/>
      <c r="C52" s="122">
        <v>6</v>
      </c>
      <c r="D52" s="123"/>
      <c r="E52" s="123"/>
      <c r="F52" s="129">
        <f t="shared" si="8"/>
        <v>0</v>
      </c>
      <c r="G52" s="158">
        <f t="shared" si="8"/>
        <v>0</v>
      </c>
      <c r="H52" s="122"/>
      <c r="I52" s="122"/>
      <c r="J52" s="122"/>
      <c r="K52" s="122"/>
      <c r="L52" s="122"/>
      <c r="M52" s="122"/>
      <c r="N52" s="122"/>
      <c r="O52" s="127"/>
      <c r="P52" s="122"/>
      <c r="Q52" s="122"/>
      <c r="R52" s="122"/>
      <c r="S52" s="122"/>
      <c r="T52" s="122"/>
      <c r="U52" s="122"/>
      <c r="V52" s="122"/>
      <c r="W52" s="68"/>
      <c r="X52" s="68"/>
    </row>
    <row r="53" spans="2:24" ht="15.75" x14ac:dyDescent="0.25">
      <c r="B53" s="156"/>
      <c r="C53" s="122">
        <v>7</v>
      </c>
      <c r="D53" s="123"/>
      <c r="E53" s="123"/>
      <c r="F53" s="129">
        <f t="shared" si="8"/>
        <v>0</v>
      </c>
      <c r="G53" s="158">
        <f t="shared" si="8"/>
        <v>0</v>
      </c>
      <c r="H53" s="122"/>
      <c r="I53" s="122"/>
      <c r="J53" s="122"/>
      <c r="K53" s="122"/>
      <c r="L53" s="122"/>
      <c r="M53" s="122"/>
      <c r="N53" s="122"/>
      <c r="O53" s="127"/>
      <c r="P53" s="122"/>
      <c r="Q53" s="122"/>
      <c r="R53" s="122"/>
      <c r="S53" s="122"/>
      <c r="T53" s="122"/>
      <c r="U53" s="122"/>
      <c r="V53" s="122"/>
      <c r="W53" s="68"/>
      <c r="X53" s="68"/>
    </row>
    <row r="54" spans="2:24" ht="15.75" x14ac:dyDescent="0.25">
      <c r="B54" s="156"/>
      <c r="C54" s="122">
        <v>8</v>
      </c>
      <c r="D54" s="123"/>
      <c r="E54" s="123"/>
      <c r="F54" s="129">
        <f t="shared" si="8"/>
        <v>0</v>
      </c>
      <c r="G54" s="158">
        <f t="shared" si="8"/>
        <v>0</v>
      </c>
      <c r="H54" s="122"/>
      <c r="I54" s="122"/>
      <c r="J54" s="122"/>
      <c r="K54" s="122"/>
      <c r="L54" s="122"/>
      <c r="M54" s="122"/>
      <c r="N54" s="122"/>
      <c r="O54" s="127"/>
      <c r="P54" s="122"/>
      <c r="Q54" s="122"/>
      <c r="R54" s="122"/>
      <c r="S54" s="122"/>
      <c r="T54" s="122"/>
      <c r="U54" s="122"/>
      <c r="V54" s="122"/>
      <c r="W54" s="68"/>
      <c r="X54" s="68"/>
    </row>
    <row r="55" spans="2:24" ht="15.75" x14ac:dyDescent="0.25">
      <c r="B55" s="156"/>
      <c r="C55" s="122">
        <v>9</v>
      </c>
      <c r="D55" s="123"/>
      <c r="E55" s="123"/>
      <c r="F55" s="129">
        <f t="shared" si="8"/>
        <v>0</v>
      </c>
      <c r="G55" s="158">
        <f t="shared" si="8"/>
        <v>0</v>
      </c>
      <c r="H55" s="122"/>
      <c r="I55" s="122"/>
      <c r="J55" s="122"/>
      <c r="K55" s="122"/>
      <c r="L55" s="122"/>
      <c r="M55" s="122"/>
      <c r="N55" s="122"/>
      <c r="O55" s="127"/>
      <c r="P55" s="122"/>
      <c r="Q55" s="122"/>
      <c r="R55" s="122"/>
      <c r="S55" s="122"/>
      <c r="T55" s="122"/>
      <c r="U55" s="122"/>
      <c r="V55" s="122"/>
      <c r="W55" s="68"/>
      <c r="X55" s="68"/>
    </row>
    <row r="56" spans="2:24" ht="15.75" x14ac:dyDescent="0.25">
      <c r="B56" s="156"/>
      <c r="C56" s="122">
        <v>10</v>
      </c>
      <c r="D56" s="123"/>
      <c r="E56" s="123"/>
      <c r="F56" s="129">
        <f t="shared" si="8"/>
        <v>0</v>
      </c>
      <c r="G56" s="158">
        <f t="shared" si="8"/>
        <v>0</v>
      </c>
      <c r="H56" s="122"/>
      <c r="I56" s="122"/>
      <c r="J56" s="122"/>
      <c r="K56" s="122"/>
      <c r="L56" s="122"/>
      <c r="M56" s="122"/>
      <c r="N56" s="122"/>
      <c r="O56" s="127"/>
      <c r="P56" s="122"/>
      <c r="Q56" s="122"/>
      <c r="R56" s="122"/>
      <c r="S56" s="122"/>
      <c r="T56" s="122"/>
      <c r="U56" s="122"/>
      <c r="V56" s="122"/>
      <c r="W56" s="68"/>
      <c r="X56" s="68"/>
    </row>
    <row r="57" spans="2:24" ht="15.75" x14ac:dyDescent="0.25">
      <c r="B57" s="156"/>
      <c r="C57" s="122">
        <v>11</v>
      </c>
      <c r="D57" s="123"/>
      <c r="E57" s="123"/>
      <c r="F57" s="129">
        <f t="shared" si="8"/>
        <v>0</v>
      </c>
      <c r="G57" s="158">
        <f t="shared" si="8"/>
        <v>0</v>
      </c>
      <c r="H57" s="122"/>
      <c r="I57" s="122"/>
      <c r="J57" s="122"/>
      <c r="K57" s="122"/>
      <c r="L57" s="122"/>
      <c r="M57" s="122"/>
      <c r="N57" s="122"/>
      <c r="O57" s="127"/>
      <c r="P57" s="122"/>
      <c r="Q57" s="122"/>
      <c r="R57" s="122"/>
      <c r="S57" s="122"/>
      <c r="T57" s="122"/>
      <c r="U57" s="122"/>
      <c r="V57" s="122"/>
      <c r="W57" s="68"/>
      <c r="X57" s="68"/>
    </row>
    <row r="58" spans="2:24" ht="15.75" x14ac:dyDescent="0.25">
      <c r="B58" s="156"/>
      <c r="C58" s="122">
        <v>12</v>
      </c>
      <c r="D58" s="123"/>
      <c r="E58" s="123"/>
      <c r="F58" s="129">
        <f t="shared" si="8"/>
        <v>0</v>
      </c>
      <c r="G58" s="158">
        <f t="shared" si="8"/>
        <v>0</v>
      </c>
      <c r="H58" s="122"/>
      <c r="I58" s="122"/>
      <c r="J58" s="122"/>
      <c r="K58" s="122"/>
      <c r="L58" s="122"/>
      <c r="M58" s="122"/>
      <c r="N58" s="122"/>
      <c r="O58" s="127"/>
      <c r="P58" s="122"/>
      <c r="Q58" s="122"/>
      <c r="R58" s="122"/>
      <c r="S58" s="122"/>
      <c r="T58" s="122"/>
      <c r="U58" s="122"/>
      <c r="V58" s="122"/>
      <c r="W58" s="68"/>
      <c r="X58" s="68"/>
    </row>
    <row r="59" spans="2:24" ht="15.75" x14ac:dyDescent="0.25">
      <c r="B59" s="156"/>
      <c r="C59" s="122">
        <v>13</v>
      </c>
      <c r="D59" s="123"/>
      <c r="E59" s="123"/>
      <c r="F59" s="129">
        <f t="shared" si="8"/>
        <v>0</v>
      </c>
      <c r="G59" s="158">
        <f t="shared" si="8"/>
        <v>0</v>
      </c>
      <c r="H59" s="122"/>
      <c r="I59" s="122"/>
      <c r="J59" s="122"/>
      <c r="K59" s="122"/>
      <c r="L59" s="122"/>
      <c r="M59" s="122"/>
      <c r="N59" s="122"/>
      <c r="O59" s="127"/>
      <c r="P59" s="122"/>
      <c r="Q59" s="122"/>
      <c r="R59" s="122"/>
      <c r="S59" s="122"/>
      <c r="T59" s="122"/>
      <c r="U59" s="122"/>
      <c r="V59" s="122"/>
      <c r="W59" s="68"/>
      <c r="X59" s="68"/>
    </row>
    <row r="60" spans="2:24" ht="15.75" x14ac:dyDescent="0.25">
      <c r="B60" s="156"/>
      <c r="C60" s="122">
        <v>14</v>
      </c>
      <c r="D60" s="123"/>
      <c r="E60" s="123"/>
      <c r="F60" s="129">
        <f t="shared" si="8"/>
        <v>0</v>
      </c>
      <c r="G60" s="158">
        <f t="shared" si="8"/>
        <v>0</v>
      </c>
      <c r="H60" s="122"/>
      <c r="I60" s="122"/>
      <c r="J60" s="122"/>
      <c r="K60" s="122"/>
      <c r="L60" s="122"/>
      <c r="M60" s="122"/>
      <c r="N60" s="122"/>
      <c r="O60" s="127"/>
      <c r="P60" s="122"/>
      <c r="Q60" s="122"/>
      <c r="R60" s="122"/>
      <c r="S60" s="122"/>
      <c r="T60" s="122"/>
      <c r="U60" s="122"/>
      <c r="V60" s="122"/>
      <c r="W60" s="68"/>
      <c r="X60" s="68"/>
    </row>
    <row r="61" spans="2:24" x14ac:dyDescent="0.25">
      <c r="B61" s="156"/>
      <c r="C61" s="122">
        <v>15</v>
      </c>
      <c r="D61" s="123"/>
      <c r="E61" s="123"/>
      <c r="F61" s="129">
        <f t="shared" si="8"/>
        <v>0</v>
      </c>
      <c r="G61" s="158">
        <f t="shared" si="8"/>
        <v>0</v>
      </c>
      <c r="H61" s="122"/>
      <c r="I61" s="122"/>
      <c r="J61" s="122"/>
      <c r="K61" s="122"/>
      <c r="L61" s="122"/>
      <c r="M61" s="122"/>
      <c r="N61" s="122"/>
      <c r="O61" s="122"/>
      <c r="P61" s="122"/>
      <c r="Q61" s="122"/>
      <c r="R61" s="122"/>
      <c r="S61" s="122"/>
      <c r="T61" s="122"/>
      <c r="U61" s="122"/>
      <c r="V61" s="122"/>
      <c r="W61" s="68"/>
      <c r="X61" s="68"/>
    </row>
    <row r="62" spans="2:24" ht="15.75" thickBot="1" x14ac:dyDescent="0.3">
      <c r="B62" s="159"/>
      <c r="C62" s="160">
        <v>16</v>
      </c>
      <c r="D62" s="161"/>
      <c r="E62" s="161"/>
      <c r="F62" s="162">
        <f t="shared" si="8"/>
        <v>0</v>
      </c>
      <c r="G62" s="163">
        <f t="shared" si="8"/>
        <v>0</v>
      </c>
      <c r="H62" s="122"/>
      <c r="I62" s="122"/>
      <c r="J62" s="122"/>
      <c r="K62" s="122"/>
      <c r="L62" s="122"/>
      <c r="M62" s="122"/>
      <c r="N62" s="122"/>
      <c r="O62" s="122"/>
      <c r="P62" s="122"/>
      <c r="Q62" s="122"/>
      <c r="R62" s="122"/>
      <c r="S62" s="122"/>
      <c r="T62" s="122"/>
      <c r="U62" s="122"/>
      <c r="V62" s="122"/>
      <c r="W62" s="68"/>
      <c r="X62" s="68"/>
    </row>
    <row r="63" spans="2:24" x14ac:dyDescent="0.25">
      <c r="H63" s="68"/>
      <c r="I63" s="68"/>
      <c r="J63" s="68"/>
      <c r="K63" s="68"/>
      <c r="L63" s="68"/>
      <c r="M63" s="68"/>
      <c r="N63" s="68"/>
      <c r="O63" s="68"/>
      <c r="P63" s="68"/>
      <c r="Q63" s="68"/>
      <c r="R63" s="68"/>
      <c r="S63" s="68"/>
      <c r="T63" s="68"/>
      <c r="U63" s="68"/>
      <c r="V63" s="68"/>
      <c r="W63" s="68"/>
      <c r="X63" s="68"/>
    </row>
    <row r="64" spans="2:24" x14ac:dyDescent="0.25">
      <c r="H64" s="68"/>
      <c r="I64" s="68"/>
      <c r="J64" s="68"/>
      <c r="K64" s="68"/>
      <c r="L64" s="68"/>
      <c r="M64" s="68"/>
      <c r="N64" s="68"/>
      <c r="O64" s="68"/>
      <c r="P64" s="68"/>
      <c r="Q64" s="68"/>
      <c r="R64" s="68"/>
      <c r="S64" s="68"/>
      <c r="T64" s="68"/>
      <c r="U64" s="68"/>
      <c r="V64" s="68"/>
      <c r="W64" s="68"/>
      <c r="X64" s="68"/>
    </row>
    <row r="65" spans="8:24" x14ac:dyDescent="0.25">
      <c r="H65" s="68"/>
      <c r="I65" s="68"/>
      <c r="J65" s="68"/>
      <c r="K65" s="68"/>
      <c r="L65" s="68"/>
      <c r="M65" s="68"/>
      <c r="N65" s="68"/>
      <c r="O65" s="68"/>
      <c r="P65" s="68"/>
      <c r="Q65" s="68"/>
      <c r="R65" s="68"/>
      <c r="S65" s="68"/>
      <c r="T65" s="68"/>
      <c r="U65" s="68"/>
      <c r="V65" s="68"/>
      <c r="W65" s="68"/>
      <c r="X65" s="68"/>
    </row>
    <row r="66" spans="8:24" x14ac:dyDescent="0.25">
      <c r="H66" s="68"/>
      <c r="I66" s="68"/>
      <c r="J66" s="68"/>
      <c r="K66" s="68"/>
      <c r="L66" s="68"/>
      <c r="M66" s="68"/>
      <c r="N66" s="68"/>
      <c r="O66" s="68"/>
      <c r="P66" s="68"/>
      <c r="Q66" s="68"/>
      <c r="R66" s="68"/>
      <c r="S66" s="68"/>
      <c r="T66" s="68"/>
      <c r="U66" s="68"/>
      <c r="V66" s="68"/>
      <c r="W66" s="68"/>
      <c r="X66" s="68"/>
    </row>
    <row r="67" spans="8:24" x14ac:dyDescent="0.25">
      <c r="H67" s="68"/>
      <c r="I67" s="68"/>
      <c r="J67" s="68"/>
      <c r="K67" s="68"/>
      <c r="L67" s="68"/>
      <c r="M67" s="68"/>
      <c r="N67" s="68"/>
      <c r="O67" s="68"/>
      <c r="P67" s="68"/>
      <c r="Q67" s="68"/>
      <c r="R67" s="68"/>
      <c r="S67" s="68"/>
      <c r="T67" s="68"/>
      <c r="U67" s="68"/>
      <c r="V67" s="68"/>
      <c r="W67" s="68"/>
      <c r="X67" s="68"/>
    </row>
    <row r="68" spans="8:24" x14ac:dyDescent="0.25">
      <c r="H68" s="68"/>
      <c r="I68" s="68"/>
      <c r="J68" s="68"/>
      <c r="K68" s="68"/>
      <c r="L68" s="68"/>
      <c r="M68" s="68"/>
      <c r="N68" s="68"/>
      <c r="O68" s="68"/>
      <c r="P68" s="68"/>
      <c r="Q68" s="68"/>
      <c r="R68" s="68"/>
      <c r="S68" s="68"/>
      <c r="T68" s="68"/>
      <c r="U68" s="68"/>
      <c r="V68" s="68"/>
      <c r="W68" s="68"/>
      <c r="X68" s="68"/>
    </row>
    <row r="69" spans="8:24" x14ac:dyDescent="0.25">
      <c r="H69" s="68"/>
      <c r="I69" s="68"/>
      <c r="J69" s="68"/>
      <c r="K69" s="68"/>
      <c r="L69" s="68"/>
      <c r="M69" s="68"/>
      <c r="N69" s="68"/>
      <c r="O69" s="68"/>
      <c r="P69" s="68"/>
      <c r="Q69" s="68"/>
      <c r="R69" s="68"/>
      <c r="S69" s="68"/>
      <c r="T69" s="68"/>
      <c r="U69" s="68"/>
      <c r="V69" s="68"/>
      <c r="W69" s="68"/>
      <c r="X69" s="68"/>
    </row>
    <row r="70" spans="8:24" x14ac:dyDescent="0.25">
      <c r="H70" s="68"/>
      <c r="I70" s="68"/>
      <c r="J70" s="68"/>
      <c r="K70" s="68"/>
      <c r="L70" s="68"/>
      <c r="M70" s="68"/>
      <c r="N70" s="68"/>
      <c r="O70" s="68"/>
      <c r="P70" s="68"/>
      <c r="Q70" s="68"/>
      <c r="R70" s="68"/>
      <c r="S70" s="68"/>
      <c r="T70" s="68"/>
      <c r="U70" s="68"/>
      <c r="V70" s="68"/>
      <c r="W70" s="68"/>
      <c r="X70" s="68"/>
    </row>
    <row r="71" spans="8:24" x14ac:dyDescent="0.25">
      <c r="H71" s="68"/>
      <c r="I71" s="68"/>
      <c r="J71" s="68"/>
      <c r="K71" s="68"/>
      <c r="L71" s="68"/>
      <c r="M71" s="68"/>
      <c r="N71" s="68"/>
      <c r="O71" s="68"/>
      <c r="P71" s="68"/>
      <c r="Q71" s="68"/>
      <c r="R71" s="68"/>
      <c r="S71" s="68"/>
      <c r="T71" s="68"/>
      <c r="U71" s="68"/>
      <c r="V71" s="68"/>
      <c r="W71" s="68"/>
      <c r="X71" s="68"/>
    </row>
    <row r="72" spans="8:24" x14ac:dyDescent="0.25">
      <c r="H72" s="68"/>
      <c r="I72" s="68"/>
      <c r="J72" s="68"/>
      <c r="K72" s="68"/>
      <c r="L72" s="68"/>
      <c r="M72" s="68"/>
      <c r="N72" s="68"/>
      <c r="O72" s="68"/>
      <c r="P72" s="68"/>
      <c r="Q72" s="68"/>
      <c r="R72" s="68"/>
      <c r="S72" s="68"/>
      <c r="T72" s="68"/>
      <c r="U72" s="68"/>
      <c r="V72" s="68"/>
      <c r="W72" s="68"/>
      <c r="X72" s="68"/>
    </row>
    <row r="73" spans="8:24" x14ac:dyDescent="0.25">
      <c r="H73" s="68"/>
      <c r="I73" s="68"/>
      <c r="J73" s="68"/>
      <c r="K73" s="68"/>
      <c r="L73" s="68"/>
      <c r="M73" s="68"/>
      <c r="N73" s="68"/>
      <c r="O73" s="68"/>
      <c r="P73" s="68"/>
      <c r="Q73" s="68"/>
      <c r="R73" s="68"/>
      <c r="S73" s="68"/>
      <c r="T73" s="68"/>
      <c r="U73" s="68"/>
      <c r="V73" s="68"/>
      <c r="W73" s="68"/>
      <c r="X73" s="68"/>
    </row>
  </sheetData>
  <mergeCells count="1">
    <mergeCell ref="I7:W7"/>
  </mergeCells>
  <phoneticPr fontId="57" type="noConversion"/>
  <pageMargins left="0.7" right="0.7" top="0.75" bottom="0.75" header="0.3" footer="0.3"/>
  <pageSetup scale="41" orientation="landscape" r:id="rId1"/>
  <headerFooter>
    <oddHeader>&amp;C&amp;A&amp;R&amp;A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AO72"/>
  <sheetViews>
    <sheetView zoomScale="60" zoomScaleNormal="60" workbookViewId="0">
      <selection activeCell="B45" sqref="B45"/>
    </sheetView>
  </sheetViews>
  <sheetFormatPr defaultRowHeight="15" x14ac:dyDescent="0.25"/>
  <cols>
    <col min="3" max="4" width="11.5703125" customWidth="1"/>
    <col min="5" max="5" width="13.85546875" customWidth="1"/>
    <col min="6" max="7" width="11.5703125" customWidth="1"/>
    <col min="8" max="8" width="17" customWidth="1"/>
    <col min="9" max="9" width="9.28515625" customWidth="1"/>
    <col min="10" max="10" width="8.85546875" customWidth="1"/>
    <col min="11" max="11" width="8.5703125" customWidth="1"/>
    <col min="12" max="15" width="10.140625" customWidth="1"/>
    <col min="16" max="16" width="11.140625" customWidth="1"/>
    <col min="17" max="17" width="12" customWidth="1"/>
    <col min="18" max="18" width="10.7109375" customWidth="1"/>
    <col min="19" max="22" width="10.140625" customWidth="1"/>
  </cols>
  <sheetData>
    <row r="2" spans="2:41" x14ac:dyDescent="0.25">
      <c r="B2" t="s">
        <v>140</v>
      </c>
    </row>
    <row r="3" spans="2:41" ht="15.75" thickBot="1" x14ac:dyDescent="0.3">
      <c r="X3" s="54"/>
      <c r="Y3" s="54"/>
    </row>
    <row r="4" spans="2:41" ht="15.75" thickBot="1" x14ac:dyDescent="0.3">
      <c r="B4" s="55"/>
      <c r="C4" s="56"/>
      <c r="D4" s="56"/>
      <c r="E4" s="56"/>
      <c r="F4" s="56" t="s">
        <v>136</v>
      </c>
      <c r="G4" s="132">
        <v>0</v>
      </c>
      <c r="H4" s="56"/>
      <c r="I4" s="56"/>
      <c r="J4" s="56"/>
      <c r="K4" s="56"/>
      <c r="L4" s="56"/>
      <c r="M4" s="56"/>
      <c r="N4" s="56"/>
      <c r="O4" s="56"/>
      <c r="P4" s="56"/>
      <c r="Q4" s="56"/>
      <c r="R4" s="56"/>
      <c r="S4" s="56"/>
      <c r="T4" s="56"/>
      <c r="U4" s="56"/>
      <c r="V4" s="56"/>
      <c r="W4" s="58"/>
      <c r="X4" s="55"/>
      <c r="Y4" s="58"/>
    </row>
    <row r="5" spans="2:41" ht="110.25" customHeight="1" thickBot="1" x14ac:dyDescent="0.3">
      <c r="B5" s="55"/>
      <c r="C5" s="59" t="s">
        <v>104</v>
      </c>
      <c r="D5" s="59" t="s">
        <v>105</v>
      </c>
      <c r="E5" s="59" t="s">
        <v>106</v>
      </c>
      <c r="F5" s="59" t="s">
        <v>107</v>
      </c>
      <c r="G5" s="60" t="s">
        <v>108</v>
      </c>
      <c r="H5" s="61"/>
      <c r="I5" s="133" t="s">
        <v>109</v>
      </c>
      <c r="J5" s="134" t="s">
        <v>110</v>
      </c>
      <c r="K5" s="134" t="s">
        <v>111</v>
      </c>
      <c r="L5" s="134" t="s">
        <v>112</v>
      </c>
      <c r="M5" s="134" t="s">
        <v>113</v>
      </c>
      <c r="N5" s="134" t="s">
        <v>114</v>
      </c>
      <c r="O5" s="134" t="s">
        <v>115</v>
      </c>
      <c r="P5" s="135" t="s">
        <v>116</v>
      </c>
      <c r="Q5" s="134" t="s">
        <v>117</v>
      </c>
      <c r="R5" s="134" t="s">
        <v>118</v>
      </c>
      <c r="S5" s="135" t="s">
        <v>119</v>
      </c>
      <c r="T5" s="134" t="s">
        <v>120</v>
      </c>
      <c r="U5" s="134" t="s">
        <v>121</v>
      </c>
      <c r="V5" s="136" t="s">
        <v>122</v>
      </c>
      <c r="W5" s="137" t="s">
        <v>123</v>
      </c>
      <c r="X5" s="66" t="s">
        <v>124</v>
      </c>
      <c r="Y5" s="67" t="s">
        <v>125</v>
      </c>
      <c r="Z5" s="118"/>
      <c r="AA5" s="118"/>
      <c r="AB5" s="138"/>
      <c r="AC5" s="138"/>
      <c r="AD5" s="138"/>
      <c r="AE5" s="138"/>
      <c r="AF5" s="138"/>
      <c r="AG5" s="138"/>
      <c r="AH5" s="138"/>
      <c r="AI5" s="138"/>
      <c r="AJ5" s="138"/>
      <c r="AK5" s="138"/>
      <c r="AL5" s="138"/>
      <c r="AM5" s="138"/>
      <c r="AN5" s="138"/>
      <c r="AO5" s="139"/>
    </row>
    <row r="6" spans="2:41" ht="20.25" customHeight="1" thickBot="1" x14ac:dyDescent="0.3">
      <c r="B6" s="55"/>
      <c r="C6" s="69"/>
      <c r="D6" s="70">
        <f>SUM(D8:D22)</f>
        <v>0</v>
      </c>
      <c r="E6" s="70">
        <f>SUM(E8:E22)</f>
        <v>0</v>
      </c>
      <c r="F6" s="69"/>
      <c r="G6" s="71"/>
      <c r="H6" s="72" t="s">
        <v>126</v>
      </c>
      <c r="I6" s="140">
        <f>'Allen Co. Labor Wages'!I14</f>
        <v>48.620999999999995</v>
      </c>
      <c r="J6" s="140">
        <f>'Allen Co. Labor Wages'!I15</f>
        <v>48.620999999999995</v>
      </c>
      <c r="K6" s="140">
        <f>'Allen Co. Labor Wages'!I43</f>
        <v>54.163724999999992</v>
      </c>
      <c r="L6" s="140">
        <f>'Allen Co. Labor Wages'!I17</f>
        <v>59.576999999999998</v>
      </c>
      <c r="M6" s="140">
        <f>'Allen Co. Labor Wages'!I37</f>
        <v>57.789000000000001</v>
      </c>
      <c r="N6" s="140">
        <f>'Allen Co. Labor Wages'!I19</f>
        <v>45.515999999999998</v>
      </c>
      <c r="O6" s="140">
        <f>('Allen Co. Labor Wages'!I20+'Allen Co. Labor Wages'!I21)/2</f>
        <v>49.569000000000003</v>
      </c>
      <c r="P6" s="141">
        <f>'Allen Co. Labor Wages'!I21</f>
        <v>44.298000000000002</v>
      </c>
      <c r="Q6" s="140">
        <f>'Allen Co. Labor Wages'!I46</f>
        <v>58.824150000000003</v>
      </c>
      <c r="R6" s="140">
        <f>'Allen Co. Labor Wages'!I45</f>
        <v>64.648237499999993</v>
      </c>
      <c r="S6" s="141">
        <f>'Allen Co. Labor Wages'!I24</f>
        <v>50.504999999999995</v>
      </c>
      <c r="T6" s="140">
        <f>'Allen Co. Labor Wages'!I25</f>
        <v>61.116</v>
      </c>
      <c r="U6" s="140">
        <f>'Allen Co. Labor Wages'!I26</f>
        <v>44.870999999999995</v>
      </c>
      <c r="V6" s="140">
        <f>'Allen Co. Labor Wages'!C31</f>
        <v>50</v>
      </c>
      <c r="W6" s="142">
        <f>'Allen Co. Labor Wages'!I27</f>
        <v>37.152000000000001</v>
      </c>
      <c r="X6" s="75"/>
      <c r="Y6" s="58"/>
      <c r="Z6" s="118"/>
      <c r="AA6" s="143"/>
      <c r="AB6" s="80"/>
      <c r="AC6" s="80"/>
      <c r="AD6" s="80"/>
      <c r="AE6" s="80"/>
      <c r="AF6" s="80"/>
      <c r="AG6" s="80"/>
      <c r="AH6" s="80"/>
      <c r="AI6" s="80"/>
      <c r="AJ6" s="80"/>
      <c r="AK6" s="80"/>
      <c r="AL6" s="80"/>
      <c r="AM6" s="80"/>
      <c r="AN6" s="80"/>
      <c r="AO6" s="80"/>
    </row>
    <row r="7" spans="2:41" ht="20.25" customHeight="1" thickBot="1" x14ac:dyDescent="0.3">
      <c r="B7" s="91"/>
      <c r="C7" s="92"/>
      <c r="D7" s="144"/>
      <c r="E7" s="144"/>
      <c r="F7" s="92"/>
      <c r="G7" s="145"/>
      <c r="H7" s="72" t="s">
        <v>127</v>
      </c>
      <c r="I7" s="446" t="s">
        <v>128</v>
      </c>
      <c r="J7" s="447"/>
      <c r="K7" s="447"/>
      <c r="L7" s="447"/>
      <c r="M7" s="447"/>
      <c r="N7" s="447"/>
      <c r="O7" s="447"/>
      <c r="P7" s="447"/>
      <c r="Q7" s="447"/>
      <c r="R7" s="447"/>
      <c r="S7" s="447"/>
      <c r="T7" s="447"/>
      <c r="U7" s="447"/>
      <c r="V7" s="447"/>
      <c r="W7" s="448"/>
      <c r="X7" s="80"/>
      <c r="Y7" s="81"/>
      <c r="Z7" s="118"/>
      <c r="AA7" s="143"/>
      <c r="AB7" s="80"/>
      <c r="AC7" s="80"/>
      <c r="AD7" s="80"/>
      <c r="AE7" s="80"/>
      <c r="AF7" s="80"/>
      <c r="AG7" s="80"/>
      <c r="AH7" s="80"/>
      <c r="AI7" s="80"/>
      <c r="AJ7" s="80"/>
      <c r="AK7" s="80"/>
      <c r="AL7" s="80"/>
      <c r="AM7" s="80"/>
      <c r="AN7" s="80"/>
      <c r="AO7" s="80"/>
    </row>
    <row r="8" spans="2:41" ht="15.75" x14ac:dyDescent="0.25">
      <c r="B8" s="91"/>
      <c r="C8" s="92">
        <v>2</v>
      </c>
      <c r="D8" s="93">
        <f t="shared" ref="D8:E22" si="0">$G$4*F8</f>
        <v>0</v>
      </c>
      <c r="E8" s="93">
        <f t="shared" si="0"/>
        <v>0</v>
      </c>
      <c r="F8" s="94">
        <f>AVERAGE(F47,F28)</f>
        <v>1.9998011958661195E-2</v>
      </c>
      <c r="G8" s="94">
        <f>AVERAGE(G47,G28)</f>
        <v>5.8251566546316344E-2</v>
      </c>
      <c r="H8" s="85">
        <f>$G$4*F8</f>
        <v>0</v>
      </c>
      <c r="I8" s="146"/>
      <c r="J8" s="146"/>
      <c r="K8" s="146"/>
      <c r="L8" s="146">
        <v>0.4</v>
      </c>
      <c r="M8" s="146"/>
      <c r="N8" s="146">
        <v>0.4</v>
      </c>
      <c r="O8" s="147"/>
      <c r="P8" s="148"/>
      <c r="Q8" s="146"/>
      <c r="R8" s="146"/>
      <c r="S8" s="148"/>
      <c r="T8" s="146">
        <v>0.2</v>
      </c>
      <c r="U8" s="146"/>
      <c r="V8" s="146"/>
      <c r="W8" s="149"/>
      <c r="X8" s="88">
        <f>I8*$I$6+J8*$J$6+K8*$K$6+L8*$L$6+M8*$M$6+N8*$N$6+O8*$O$6+P8*$P$6+Q8*$Q$6+R8*$R$6+S8*$S$6+T8*$T$6+U8*$U$6+W8*$W$6+V8*$V$6</f>
        <v>54.260399999999997</v>
      </c>
      <c r="Y8" s="89">
        <f t="shared" ref="Y8:Y22" si="1">H8/X8</f>
        <v>0</v>
      </c>
      <c r="Z8" s="118"/>
      <c r="AA8" s="118"/>
      <c r="AB8" s="150"/>
      <c r="AC8" s="150"/>
      <c r="AD8" s="150"/>
      <c r="AE8" s="150"/>
      <c r="AF8" s="150"/>
      <c r="AG8" s="150"/>
      <c r="AH8" s="147"/>
      <c r="AI8" s="150"/>
      <c r="AJ8" s="150"/>
      <c r="AK8" s="150"/>
      <c r="AL8" s="150"/>
      <c r="AM8" s="150"/>
      <c r="AN8" s="150"/>
      <c r="AO8" s="150"/>
    </row>
    <row r="9" spans="2:41" ht="15.75" x14ac:dyDescent="0.25">
      <c r="B9" s="91"/>
      <c r="C9" s="92">
        <v>3</v>
      </c>
      <c r="D9" s="93">
        <f t="shared" si="0"/>
        <v>0</v>
      </c>
      <c r="E9" s="93">
        <f t="shared" si="0"/>
        <v>0</v>
      </c>
      <c r="F9" s="94">
        <f t="shared" ref="F9:G22" si="2">AVERAGE(F48,F29)</f>
        <v>7.351558393731894E-2</v>
      </c>
      <c r="G9" s="94">
        <f t="shared" si="2"/>
        <v>0.10966675600253654</v>
      </c>
      <c r="H9" s="85">
        <f t="shared" ref="H9:H22" si="3">$G$4*F9</f>
        <v>0</v>
      </c>
      <c r="I9" s="146">
        <v>0.28499999999999998</v>
      </c>
      <c r="J9" s="146"/>
      <c r="K9" s="146"/>
      <c r="L9" s="146">
        <v>0.14199999999999999</v>
      </c>
      <c r="M9" s="146">
        <v>0.14199999999999999</v>
      </c>
      <c r="N9" s="146">
        <v>0.28499999999999998</v>
      </c>
      <c r="O9" s="147">
        <v>0.14199999999999999</v>
      </c>
      <c r="P9" s="148"/>
      <c r="Q9" s="146"/>
      <c r="R9" s="146"/>
      <c r="S9" s="148"/>
      <c r="T9" s="146"/>
      <c r="U9" s="146"/>
      <c r="V9" s="146"/>
      <c r="W9" s="149"/>
      <c r="X9" s="88">
        <f t="shared" ref="X9:X22" si="4">I9*$I$6+J9*$J$6+K9*$K$6+L9*$L$6+M9*$M$6+N9*$N$6+O9*$O$6+P9*$P$6+Q9*$Q$6+R9*$R$6+S9*$S$6+T9*$T$6+U9*$U$6+W9*$W$6+V9*$V$6</f>
        <v>50.533814999999997</v>
      </c>
      <c r="Y9" s="89">
        <f t="shared" si="1"/>
        <v>0</v>
      </c>
      <c r="Z9" s="118"/>
      <c r="AA9" s="118"/>
      <c r="AB9" s="150"/>
      <c r="AC9" s="150"/>
      <c r="AD9" s="150"/>
      <c r="AE9" s="150"/>
      <c r="AF9" s="150"/>
      <c r="AG9" s="150"/>
      <c r="AH9" s="147"/>
      <c r="AI9" s="150"/>
      <c r="AJ9" s="150"/>
      <c r="AK9" s="150"/>
      <c r="AL9" s="150"/>
      <c r="AM9" s="150"/>
      <c r="AN9" s="150"/>
      <c r="AO9" s="150"/>
    </row>
    <row r="10" spans="2:41" x14ac:dyDescent="0.25">
      <c r="B10" s="91"/>
      <c r="C10" s="92">
        <v>4</v>
      </c>
      <c r="D10" s="93">
        <f t="shared" si="0"/>
        <v>0</v>
      </c>
      <c r="E10" s="93">
        <f t="shared" si="0"/>
        <v>0</v>
      </c>
      <c r="F10" s="94">
        <f t="shared" si="2"/>
        <v>3.7685890748806426E-3</v>
      </c>
      <c r="G10" s="94">
        <f t="shared" si="2"/>
        <v>1.0185375878055791E-2</v>
      </c>
      <c r="H10" s="85">
        <f t="shared" si="3"/>
        <v>0</v>
      </c>
      <c r="I10" s="146"/>
      <c r="J10" s="146"/>
      <c r="K10" s="146"/>
      <c r="L10" s="146"/>
      <c r="M10" s="146"/>
      <c r="N10" s="146">
        <v>0.4</v>
      </c>
      <c r="O10" s="146">
        <v>0.6</v>
      </c>
      <c r="P10" s="148"/>
      <c r="Q10" s="146"/>
      <c r="R10" s="146"/>
      <c r="S10" s="148"/>
      <c r="T10" s="146"/>
      <c r="U10" s="146"/>
      <c r="V10" s="146"/>
      <c r="W10" s="149"/>
      <c r="X10" s="88">
        <f t="shared" si="4"/>
        <v>47.947800000000001</v>
      </c>
      <c r="Y10" s="89">
        <f t="shared" si="1"/>
        <v>0</v>
      </c>
      <c r="Z10" s="118"/>
      <c r="AA10" s="118"/>
      <c r="AB10" s="150"/>
      <c r="AC10" s="150"/>
      <c r="AD10" s="150"/>
      <c r="AE10" s="150"/>
      <c r="AF10" s="150"/>
      <c r="AG10" s="150"/>
      <c r="AH10" s="150"/>
      <c r="AI10" s="150"/>
      <c r="AJ10" s="150"/>
      <c r="AK10" s="150"/>
      <c r="AL10" s="150"/>
      <c r="AM10" s="150"/>
      <c r="AN10" s="150"/>
      <c r="AO10" s="150"/>
    </row>
    <row r="11" spans="2:41" ht="15.75" x14ac:dyDescent="0.25">
      <c r="B11" s="91"/>
      <c r="C11" s="92">
        <v>5</v>
      </c>
      <c r="D11" s="93">
        <f t="shared" si="0"/>
        <v>0</v>
      </c>
      <c r="E11" s="93">
        <f t="shared" si="0"/>
        <v>0</v>
      </c>
      <c r="F11" s="94">
        <f t="shared" si="2"/>
        <v>2.602002974819554E-3</v>
      </c>
      <c r="G11" s="94">
        <f t="shared" si="2"/>
        <v>2.7497060196852281E-2</v>
      </c>
      <c r="H11" s="85">
        <f t="shared" si="3"/>
        <v>0</v>
      </c>
      <c r="I11" s="146">
        <v>1</v>
      </c>
      <c r="J11" s="146"/>
      <c r="K11" s="146"/>
      <c r="L11" s="146"/>
      <c r="M11" s="146"/>
      <c r="N11" s="146"/>
      <c r="O11" s="147"/>
      <c r="P11" s="148"/>
      <c r="Q11" s="146"/>
      <c r="R11" s="146"/>
      <c r="S11" s="148"/>
      <c r="T11" s="146"/>
      <c r="U11" s="146"/>
      <c r="V11" s="146"/>
      <c r="W11" s="149"/>
      <c r="X11" s="88">
        <f>I11*$I$6+J11*$J$6+K11*$K$6+L11*$L$6+M11*$M$6+N11*$N$6+O11*$O$6+P11*$P$6+Q11*$Q$6+R11*$R$6+S11*$S$6+T11*$T$6+U11*$U$6+W11*$W$6+V11*$V$6</f>
        <v>48.620999999999995</v>
      </c>
      <c r="Y11" s="89">
        <f t="shared" si="1"/>
        <v>0</v>
      </c>
      <c r="Z11" s="118"/>
      <c r="AA11" s="118"/>
      <c r="AB11" s="150"/>
      <c r="AC11" s="150"/>
      <c r="AD11" s="150"/>
      <c r="AE11" s="150"/>
      <c r="AF11" s="150"/>
      <c r="AG11" s="150"/>
      <c r="AH11" s="147"/>
      <c r="AI11" s="150"/>
      <c r="AJ11" s="150"/>
      <c r="AK11" s="150"/>
      <c r="AL11" s="150"/>
      <c r="AM11" s="150"/>
      <c r="AN11" s="150"/>
      <c r="AO11" s="150"/>
    </row>
    <row r="12" spans="2:41" ht="15.75" x14ac:dyDescent="0.25">
      <c r="B12" s="91"/>
      <c r="C12" s="92">
        <v>6</v>
      </c>
      <c r="D12" s="93">
        <f t="shared" si="0"/>
        <v>0</v>
      </c>
      <c r="E12" s="93">
        <f t="shared" si="0"/>
        <v>0</v>
      </c>
      <c r="F12" s="94">
        <f t="shared" si="2"/>
        <v>1.9270047519643293E-3</v>
      </c>
      <c r="G12" s="94">
        <f t="shared" si="2"/>
        <v>4.6745218735124291E-3</v>
      </c>
      <c r="H12" s="85">
        <f t="shared" si="3"/>
        <v>0</v>
      </c>
      <c r="I12" s="146">
        <v>1</v>
      </c>
      <c r="J12" s="146"/>
      <c r="K12" s="146"/>
      <c r="L12" s="146"/>
      <c r="M12" s="146"/>
      <c r="N12" s="146"/>
      <c r="O12" s="147"/>
      <c r="P12" s="148"/>
      <c r="Q12" s="146"/>
      <c r="R12" s="146"/>
      <c r="S12" s="148"/>
      <c r="T12" s="146"/>
      <c r="U12" s="146"/>
      <c r="V12" s="146"/>
      <c r="W12" s="149"/>
      <c r="X12" s="88">
        <f t="shared" si="4"/>
        <v>48.620999999999995</v>
      </c>
      <c r="Y12" s="89">
        <f t="shared" si="1"/>
        <v>0</v>
      </c>
      <c r="Z12" s="118"/>
      <c r="AA12" s="118"/>
      <c r="AB12" s="150"/>
      <c r="AC12" s="150"/>
      <c r="AD12" s="150"/>
      <c r="AE12" s="150"/>
      <c r="AF12" s="150"/>
      <c r="AG12" s="150"/>
      <c r="AH12" s="147"/>
      <c r="AI12" s="150"/>
      <c r="AJ12" s="150"/>
      <c r="AK12" s="150"/>
      <c r="AL12" s="150"/>
      <c r="AM12" s="150"/>
      <c r="AN12" s="150"/>
      <c r="AO12" s="150"/>
    </row>
    <row r="13" spans="2:41" ht="15.75" x14ac:dyDescent="0.25">
      <c r="B13" s="91"/>
      <c r="C13" s="92">
        <v>7</v>
      </c>
      <c r="D13" s="93">
        <f t="shared" si="0"/>
        <v>0</v>
      </c>
      <c r="E13" s="93">
        <f t="shared" si="0"/>
        <v>0</v>
      </c>
      <c r="F13" s="94">
        <f t="shared" si="2"/>
        <v>2.1501076901344692E-3</v>
      </c>
      <c r="G13" s="94">
        <f t="shared" si="2"/>
        <v>1.3262644116358682E-2</v>
      </c>
      <c r="H13" s="85">
        <f t="shared" si="3"/>
        <v>0</v>
      </c>
      <c r="I13" s="146">
        <v>0.5</v>
      </c>
      <c r="J13" s="146"/>
      <c r="K13" s="146"/>
      <c r="L13" s="146"/>
      <c r="M13" s="146"/>
      <c r="N13" s="146"/>
      <c r="O13" s="147"/>
      <c r="P13" s="148"/>
      <c r="Q13" s="146"/>
      <c r="R13" s="146"/>
      <c r="S13" s="148"/>
      <c r="T13" s="146"/>
      <c r="U13" s="146"/>
      <c r="V13" s="146"/>
      <c r="W13" s="149">
        <v>0.5</v>
      </c>
      <c r="X13" s="88">
        <f t="shared" si="4"/>
        <v>42.886499999999998</v>
      </c>
      <c r="Y13" s="89">
        <f t="shared" si="1"/>
        <v>0</v>
      </c>
      <c r="Z13" s="118"/>
      <c r="AA13" s="118"/>
      <c r="AB13" s="150"/>
      <c r="AC13" s="150"/>
      <c r="AD13" s="150"/>
      <c r="AE13" s="150"/>
      <c r="AF13" s="150"/>
      <c r="AG13" s="150"/>
      <c r="AH13" s="147"/>
      <c r="AI13" s="150"/>
      <c r="AJ13" s="150"/>
      <c r="AK13" s="150"/>
      <c r="AL13" s="150"/>
      <c r="AM13" s="150"/>
      <c r="AN13" s="150"/>
      <c r="AO13" s="150"/>
    </row>
    <row r="14" spans="2:41" ht="15.75" x14ac:dyDescent="0.25">
      <c r="B14" s="91"/>
      <c r="C14" s="92">
        <v>8</v>
      </c>
      <c r="D14" s="93">
        <f t="shared" si="0"/>
        <v>0</v>
      </c>
      <c r="E14" s="93">
        <f t="shared" si="0"/>
        <v>0</v>
      </c>
      <c r="F14" s="94">
        <f t="shared" si="2"/>
        <v>8.1799690736894504E-4</v>
      </c>
      <c r="G14" s="94">
        <f t="shared" si="2"/>
        <v>6.2485202387479134E-3</v>
      </c>
      <c r="H14" s="85">
        <f t="shared" si="3"/>
        <v>0</v>
      </c>
      <c r="I14" s="146">
        <v>1</v>
      </c>
      <c r="J14" s="146"/>
      <c r="K14" s="146"/>
      <c r="L14" s="146"/>
      <c r="M14" s="146"/>
      <c r="N14" s="146"/>
      <c r="O14" s="147"/>
      <c r="P14" s="148"/>
      <c r="Q14" s="146"/>
      <c r="R14" s="146"/>
      <c r="S14" s="148"/>
      <c r="T14" s="146"/>
      <c r="U14" s="146"/>
      <c r="V14" s="146"/>
      <c r="W14" s="149"/>
      <c r="X14" s="88">
        <f t="shared" si="4"/>
        <v>48.620999999999995</v>
      </c>
      <c r="Y14" s="89">
        <f t="shared" si="1"/>
        <v>0</v>
      </c>
      <c r="Z14" s="118"/>
      <c r="AA14" s="118"/>
      <c r="AB14" s="150"/>
      <c r="AC14" s="150"/>
      <c r="AD14" s="150"/>
      <c r="AE14" s="150"/>
      <c r="AF14" s="150"/>
      <c r="AG14" s="150"/>
      <c r="AH14" s="147"/>
      <c r="AI14" s="150"/>
      <c r="AJ14" s="150"/>
      <c r="AK14" s="150"/>
      <c r="AL14" s="150"/>
      <c r="AM14" s="150"/>
      <c r="AN14" s="150"/>
      <c r="AO14" s="150"/>
    </row>
    <row r="15" spans="2:41" ht="15.75" x14ac:dyDescent="0.25">
      <c r="B15" s="91"/>
      <c r="C15" s="92">
        <v>9</v>
      </c>
      <c r="D15" s="93">
        <f t="shared" si="0"/>
        <v>0</v>
      </c>
      <c r="E15" s="93">
        <f t="shared" si="0"/>
        <v>0</v>
      </c>
      <c r="F15" s="94">
        <f t="shared" si="2"/>
        <v>8.5705799698302856E-3</v>
      </c>
      <c r="G15" s="94">
        <f t="shared" si="2"/>
        <v>2.5833996200433425E-2</v>
      </c>
      <c r="H15" s="85">
        <f t="shared" si="3"/>
        <v>0</v>
      </c>
      <c r="I15" s="146"/>
      <c r="J15" s="146"/>
      <c r="K15" s="146"/>
      <c r="L15" s="146"/>
      <c r="M15" s="146"/>
      <c r="N15" s="146"/>
      <c r="O15" s="147"/>
      <c r="P15" s="148"/>
      <c r="Q15" s="146"/>
      <c r="R15" s="146"/>
      <c r="S15" s="148"/>
      <c r="T15" s="146"/>
      <c r="U15" s="146">
        <v>1</v>
      </c>
      <c r="V15" s="146"/>
      <c r="W15" s="149"/>
      <c r="X15" s="88">
        <f t="shared" si="4"/>
        <v>44.870999999999995</v>
      </c>
      <c r="Y15" s="89">
        <f t="shared" si="1"/>
        <v>0</v>
      </c>
      <c r="Z15" s="118"/>
      <c r="AA15" s="118"/>
      <c r="AB15" s="150"/>
      <c r="AC15" s="150"/>
      <c r="AD15" s="150"/>
      <c r="AE15" s="150"/>
      <c r="AF15" s="150"/>
      <c r="AG15" s="150"/>
      <c r="AH15" s="147"/>
      <c r="AI15" s="150"/>
      <c r="AJ15" s="150"/>
      <c r="AK15" s="150"/>
      <c r="AL15" s="150"/>
      <c r="AM15" s="150"/>
      <c r="AN15" s="150"/>
      <c r="AO15" s="150"/>
    </row>
    <row r="16" spans="2:41" ht="15.75" x14ac:dyDescent="0.25">
      <c r="B16" s="91"/>
      <c r="C16" s="92">
        <v>10</v>
      </c>
      <c r="D16" s="93">
        <f t="shared" si="0"/>
        <v>0</v>
      </c>
      <c r="E16" s="93">
        <f t="shared" si="0"/>
        <v>0</v>
      </c>
      <c r="F16" s="94">
        <f t="shared" si="2"/>
        <v>2.9725750610700775E-4</v>
      </c>
      <c r="G16" s="94">
        <f t="shared" si="2"/>
        <v>1.6826176785362773E-3</v>
      </c>
      <c r="H16" s="85">
        <f t="shared" si="3"/>
        <v>0</v>
      </c>
      <c r="I16" s="146">
        <v>0.5</v>
      </c>
      <c r="J16" s="146"/>
      <c r="K16" s="146"/>
      <c r="L16" s="146"/>
      <c r="M16" s="146"/>
      <c r="N16" s="146"/>
      <c r="O16" s="147"/>
      <c r="P16" s="148"/>
      <c r="Q16" s="146">
        <v>0.5</v>
      </c>
      <c r="R16" s="146"/>
      <c r="S16" s="148"/>
      <c r="T16" s="146"/>
      <c r="U16" s="146"/>
      <c r="V16" s="146"/>
      <c r="W16" s="149"/>
      <c r="X16" s="88">
        <f t="shared" si="4"/>
        <v>53.722574999999999</v>
      </c>
      <c r="Y16" s="89">
        <f t="shared" si="1"/>
        <v>0</v>
      </c>
      <c r="Z16" s="118"/>
      <c r="AA16" s="118"/>
      <c r="AB16" s="150"/>
      <c r="AC16" s="150"/>
      <c r="AD16" s="150"/>
      <c r="AE16" s="150"/>
      <c r="AF16" s="150"/>
      <c r="AG16" s="150"/>
      <c r="AH16" s="147"/>
      <c r="AI16" s="150"/>
      <c r="AJ16" s="150"/>
      <c r="AK16" s="150"/>
      <c r="AL16" s="150"/>
      <c r="AM16" s="150"/>
      <c r="AN16" s="150"/>
      <c r="AO16" s="150"/>
    </row>
    <row r="17" spans="2:41" ht="15.75" x14ac:dyDescent="0.25">
      <c r="B17" s="91"/>
      <c r="C17" s="92">
        <v>11</v>
      </c>
      <c r="D17" s="93">
        <f t="shared" si="0"/>
        <v>0</v>
      </c>
      <c r="E17" s="93">
        <f t="shared" si="0"/>
        <v>0</v>
      </c>
      <c r="F17" s="94">
        <f t="shared" si="2"/>
        <v>2.8492963538218163E-3</v>
      </c>
      <c r="G17" s="94">
        <f t="shared" si="2"/>
        <v>0.18472092022210046</v>
      </c>
      <c r="H17" s="85">
        <f t="shared" si="3"/>
        <v>0</v>
      </c>
      <c r="I17" s="146"/>
      <c r="J17" s="146">
        <v>0.75</v>
      </c>
      <c r="K17" s="146"/>
      <c r="L17" s="146">
        <v>0.25</v>
      </c>
      <c r="M17" s="146"/>
      <c r="N17" s="146"/>
      <c r="O17" s="147"/>
      <c r="P17" s="148"/>
      <c r="Q17" s="146"/>
      <c r="R17" s="146"/>
      <c r="S17" s="148"/>
      <c r="T17" s="146"/>
      <c r="U17" s="146"/>
      <c r="V17" s="146"/>
      <c r="W17" s="149"/>
      <c r="X17" s="88">
        <f t="shared" si="4"/>
        <v>51.36</v>
      </c>
      <c r="Y17" s="89">
        <f t="shared" si="1"/>
        <v>0</v>
      </c>
      <c r="Z17" s="118"/>
      <c r="AA17" s="118"/>
      <c r="AB17" s="150"/>
      <c r="AC17" s="150"/>
      <c r="AD17" s="150"/>
      <c r="AE17" s="150"/>
      <c r="AF17" s="150"/>
      <c r="AG17" s="150"/>
      <c r="AH17" s="147"/>
      <c r="AI17" s="150"/>
      <c r="AJ17" s="150"/>
      <c r="AK17" s="150"/>
      <c r="AL17" s="150"/>
      <c r="AM17" s="150"/>
      <c r="AN17" s="150"/>
      <c r="AO17" s="150"/>
    </row>
    <row r="18" spans="2:41" ht="15.75" x14ac:dyDescent="0.25">
      <c r="B18" s="91"/>
      <c r="C18" s="92">
        <v>12</v>
      </c>
      <c r="D18" s="93">
        <f t="shared" si="0"/>
        <v>0</v>
      </c>
      <c r="E18" s="93">
        <f t="shared" si="0"/>
        <v>0</v>
      </c>
      <c r="F18" s="94">
        <f t="shared" si="2"/>
        <v>0</v>
      </c>
      <c r="G18" s="94">
        <f t="shared" si="2"/>
        <v>0</v>
      </c>
      <c r="H18" s="85">
        <f t="shared" si="3"/>
        <v>0</v>
      </c>
      <c r="I18" s="146"/>
      <c r="J18" s="146"/>
      <c r="K18" s="146"/>
      <c r="L18" s="146"/>
      <c r="M18" s="146"/>
      <c r="N18" s="146">
        <v>1</v>
      </c>
      <c r="O18" s="147"/>
      <c r="P18" s="148"/>
      <c r="Q18" s="146"/>
      <c r="R18" s="146"/>
      <c r="S18" s="148"/>
      <c r="T18" s="146"/>
      <c r="U18" s="146"/>
      <c r="V18" s="146"/>
      <c r="W18" s="149"/>
      <c r="X18" s="88">
        <f t="shared" si="4"/>
        <v>45.515999999999998</v>
      </c>
      <c r="Y18" s="89">
        <f t="shared" si="1"/>
        <v>0</v>
      </c>
      <c r="Z18" s="118"/>
      <c r="AA18" s="118"/>
      <c r="AB18" s="150"/>
      <c r="AC18" s="150"/>
      <c r="AD18" s="150"/>
      <c r="AE18" s="150"/>
      <c r="AF18" s="150"/>
      <c r="AG18" s="150"/>
      <c r="AH18" s="147"/>
      <c r="AI18" s="150"/>
      <c r="AJ18" s="150"/>
      <c r="AK18" s="150"/>
      <c r="AL18" s="150"/>
      <c r="AM18" s="150"/>
      <c r="AN18" s="150"/>
      <c r="AO18" s="150"/>
    </row>
    <row r="19" spans="2:41" ht="15.75" x14ac:dyDescent="0.25">
      <c r="B19" s="91"/>
      <c r="C19" s="92">
        <v>13</v>
      </c>
      <c r="D19" s="93">
        <f t="shared" si="0"/>
        <v>0</v>
      </c>
      <c r="E19" s="93">
        <f t="shared" si="0"/>
        <v>0</v>
      </c>
      <c r="F19" s="94">
        <f t="shared" si="2"/>
        <v>6.7877218971820676E-4</v>
      </c>
      <c r="G19" s="94">
        <f t="shared" si="2"/>
        <v>2.5094139152738438E-2</v>
      </c>
      <c r="H19" s="85">
        <f t="shared" si="3"/>
        <v>0</v>
      </c>
      <c r="I19" s="146"/>
      <c r="J19" s="146"/>
      <c r="K19" s="146">
        <v>1</v>
      </c>
      <c r="L19" s="146"/>
      <c r="M19" s="146"/>
      <c r="N19" s="146"/>
      <c r="O19" s="147"/>
      <c r="P19" s="148"/>
      <c r="Q19" s="146"/>
      <c r="R19" s="146"/>
      <c r="S19" s="148"/>
      <c r="T19" s="146"/>
      <c r="U19" s="146"/>
      <c r="V19" s="146"/>
      <c r="W19" s="149"/>
      <c r="X19" s="88">
        <f t="shared" si="4"/>
        <v>54.163724999999992</v>
      </c>
      <c r="Y19" s="89">
        <f t="shared" si="1"/>
        <v>0</v>
      </c>
      <c r="Z19" s="118"/>
      <c r="AA19" s="118"/>
      <c r="AB19" s="150"/>
      <c r="AC19" s="150"/>
      <c r="AD19" s="150"/>
      <c r="AE19" s="150"/>
      <c r="AF19" s="150"/>
      <c r="AG19" s="150"/>
      <c r="AH19" s="147"/>
      <c r="AI19" s="150"/>
      <c r="AJ19" s="150"/>
      <c r="AK19" s="150"/>
      <c r="AL19" s="150"/>
      <c r="AM19" s="150"/>
      <c r="AN19" s="150"/>
      <c r="AO19" s="150"/>
    </row>
    <row r="20" spans="2:41" ht="15.75" x14ac:dyDescent="0.25">
      <c r="B20" s="91"/>
      <c r="C20" s="92">
        <v>14</v>
      </c>
      <c r="D20" s="93">
        <f t="shared" si="0"/>
        <v>0</v>
      </c>
      <c r="E20" s="93">
        <f t="shared" si="0"/>
        <v>0</v>
      </c>
      <c r="F20" s="94">
        <f t="shared" si="2"/>
        <v>2.8865355238410112E-4</v>
      </c>
      <c r="G20" s="94">
        <f t="shared" si="2"/>
        <v>2.8354049369331709E-3</v>
      </c>
      <c r="H20" s="85">
        <f t="shared" si="3"/>
        <v>0</v>
      </c>
      <c r="I20" s="146"/>
      <c r="J20" s="146">
        <v>0.8</v>
      </c>
      <c r="K20" s="146"/>
      <c r="L20" s="146"/>
      <c r="M20" s="146"/>
      <c r="N20" s="146">
        <v>0.2</v>
      </c>
      <c r="O20" s="147"/>
      <c r="P20" s="148"/>
      <c r="Q20" s="146"/>
      <c r="R20" s="146"/>
      <c r="S20" s="148"/>
      <c r="T20" s="146"/>
      <c r="U20" s="146"/>
      <c r="V20" s="146"/>
      <c r="W20" s="149"/>
      <c r="X20" s="88">
        <f t="shared" si="4"/>
        <v>48</v>
      </c>
      <c r="Y20" s="89">
        <f t="shared" si="1"/>
        <v>0</v>
      </c>
      <c r="Z20" s="118"/>
      <c r="AA20" s="118"/>
      <c r="AB20" s="150"/>
      <c r="AC20" s="150"/>
      <c r="AD20" s="150"/>
      <c r="AE20" s="150"/>
      <c r="AF20" s="150"/>
      <c r="AG20" s="150"/>
      <c r="AH20" s="147"/>
      <c r="AI20" s="150"/>
      <c r="AJ20" s="150"/>
      <c r="AK20" s="150"/>
      <c r="AL20" s="150"/>
      <c r="AM20" s="150"/>
      <c r="AN20" s="150"/>
      <c r="AO20" s="150"/>
    </row>
    <row r="21" spans="2:41" x14ac:dyDescent="0.25">
      <c r="B21" s="91"/>
      <c r="C21" s="92">
        <v>15</v>
      </c>
      <c r="D21" s="93">
        <f t="shared" si="0"/>
        <v>0</v>
      </c>
      <c r="E21" s="93">
        <f t="shared" si="0"/>
        <v>0</v>
      </c>
      <c r="F21" s="94">
        <f t="shared" si="2"/>
        <v>1.2185194273241579E-2</v>
      </c>
      <c r="G21" s="94">
        <f t="shared" si="2"/>
        <v>9.7760378489382155E-2</v>
      </c>
      <c r="H21" s="85">
        <f t="shared" si="3"/>
        <v>0</v>
      </c>
      <c r="I21" s="146"/>
      <c r="J21" s="146"/>
      <c r="K21" s="146"/>
      <c r="L21" s="146">
        <v>0.1</v>
      </c>
      <c r="M21" s="146"/>
      <c r="N21" s="146">
        <v>0.1</v>
      </c>
      <c r="O21" s="146"/>
      <c r="P21" s="148"/>
      <c r="Q21" s="146">
        <v>0.31</v>
      </c>
      <c r="R21" s="146">
        <v>0.31</v>
      </c>
      <c r="S21" s="148"/>
      <c r="T21" s="146">
        <v>0.18</v>
      </c>
      <c r="U21" s="146"/>
      <c r="V21" s="146"/>
      <c r="W21" s="149"/>
      <c r="X21" s="88">
        <f t="shared" si="4"/>
        <v>59.786620124999999</v>
      </c>
      <c r="Y21" s="89">
        <f t="shared" si="1"/>
        <v>0</v>
      </c>
      <c r="Z21" s="118"/>
      <c r="AA21" s="118"/>
      <c r="AB21" s="150"/>
      <c r="AC21" s="150"/>
      <c r="AD21" s="150"/>
      <c r="AE21" s="150"/>
      <c r="AF21" s="150"/>
      <c r="AG21" s="150"/>
      <c r="AH21" s="150"/>
      <c r="AI21" s="150"/>
      <c r="AJ21" s="150"/>
      <c r="AK21" s="150"/>
      <c r="AL21" s="150"/>
      <c r="AM21" s="150"/>
      <c r="AN21" s="150"/>
      <c r="AO21" s="150"/>
    </row>
    <row r="22" spans="2:41" ht="15.75" thickBot="1" x14ac:dyDescent="0.3">
      <c r="B22" s="96"/>
      <c r="C22" s="97">
        <v>16</v>
      </c>
      <c r="D22" s="98">
        <f t="shared" si="0"/>
        <v>0</v>
      </c>
      <c r="E22" s="98">
        <f t="shared" si="0"/>
        <v>0</v>
      </c>
      <c r="F22" s="99">
        <f t="shared" si="2"/>
        <v>3.4907177108483296E-2</v>
      </c>
      <c r="G22" s="94">
        <f t="shared" si="2"/>
        <v>0.15116063021669446</v>
      </c>
      <c r="H22" s="101">
        <f t="shared" si="3"/>
        <v>0</v>
      </c>
      <c r="I22" s="146"/>
      <c r="J22" s="146"/>
      <c r="K22" s="146">
        <v>1</v>
      </c>
      <c r="L22" s="146"/>
      <c r="M22" s="146"/>
      <c r="N22" s="146"/>
      <c r="O22" s="146"/>
      <c r="P22" s="148"/>
      <c r="Q22" s="146"/>
      <c r="R22" s="146"/>
      <c r="S22" s="148"/>
      <c r="T22" s="146"/>
      <c r="U22" s="146"/>
      <c r="V22" s="146"/>
      <c r="W22" s="149"/>
      <c r="X22" s="88">
        <f t="shared" si="4"/>
        <v>54.163724999999992</v>
      </c>
      <c r="Y22" s="105">
        <f t="shared" si="1"/>
        <v>0</v>
      </c>
      <c r="Z22" s="118"/>
      <c r="AA22" s="118"/>
      <c r="AB22" s="150"/>
      <c r="AC22" s="150"/>
      <c r="AD22" s="150"/>
      <c r="AE22" s="150"/>
      <c r="AF22" s="150"/>
      <c r="AG22" s="150"/>
      <c r="AH22" s="150"/>
      <c r="AI22" s="150"/>
      <c r="AJ22" s="150"/>
      <c r="AK22" s="150"/>
      <c r="AL22" s="150"/>
      <c r="AM22" s="150"/>
      <c r="AN22" s="150"/>
      <c r="AO22" s="150"/>
    </row>
    <row r="23" spans="2:41" x14ac:dyDescent="0.25">
      <c r="E23" s="106" t="s">
        <v>129</v>
      </c>
      <c r="F23" s="107">
        <f>SUM(F8:F22)</f>
        <v>0.16455622824873437</v>
      </c>
      <c r="G23" s="83">
        <f>SUM(G8:G22)</f>
        <v>0.71887453174919835</v>
      </c>
      <c r="H23" s="108" t="s">
        <v>130</v>
      </c>
      <c r="I23" s="109">
        <f t="shared" ref="I23:W23" si="5">I24*I6</f>
        <v>0</v>
      </c>
      <c r="J23" s="109">
        <f t="shared" si="5"/>
        <v>0</v>
      </c>
      <c r="K23" s="109">
        <f t="shared" si="5"/>
        <v>0</v>
      </c>
      <c r="L23" s="109">
        <f t="shared" si="5"/>
        <v>0</v>
      </c>
      <c r="M23" s="109">
        <f t="shared" si="5"/>
        <v>0</v>
      </c>
      <c r="N23" s="109">
        <f t="shared" si="5"/>
        <v>0</v>
      </c>
      <c r="O23" s="109">
        <f t="shared" si="5"/>
        <v>0</v>
      </c>
      <c r="P23" s="109">
        <f t="shared" si="5"/>
        <v>0</v>
      </c>
      <c r="Q23" s="109">
        <f t="shared" si="5"/>
        <v>0</v>
      </c>
      <c r="R23" s="109">
        <f t="shared" si="5"/>
        <v>0</v>
      </c>
      <c r="S23" s="109">
        <f t="shared" si="5"/>
        <v>0</v>
      </c>
      <c r="T23" s="109">
        <f t="shared" si="5"/>
        <v>0</v>
      </c>
      <c r="U23" s="109">
        <f t="shared" si="5"/>
        <v>0</v>
      </c>
      <c r="V23" s="109">
        <f t="shared" si="5"/>
        <v>0</v>
      </c>
      <c r="W23" s="111">
        <f t="shared" si="5"/>
        <v>0</v>
      </c>
      <c r="X23" s="151"/>
      <c r="Y23" s="113"/>
      <c r="Z23" s="118"/>
      <c r="AA23" s="118"/>
      <c r="AB23" s="118"/>
      <c r="AC23" s="118"/>
      <c r="AD23" s="118"/>
      <c r="AE23" s="118"/>
      <c r="AF23" s="118"/>
      <c r="AG23" s="118"/>
      <c r="AH23" s="118"/>
      <c r="AI23" s="118"/>
      <c r="AJ23" s="118"/>
      <c r="AK23" s="118"/>
      <c r="AL23" s="118"/>
      <c r="AM23" s="118"/>
      <c r="AN23" s="118"/>
      <c r="AO23" s="118"/>
    </row>
    <row r="24" spans="2:41" ht="15.75" thickBot="1" x14ac:dyDescent="0.3">
      <c r="F24" s="114"/>
      <c r="G24" s="114"/>
      <c r="H24" s="108" t="s">
        <v>131</v>
      </c>
      <c r="I24" s="115">
        <f>I8*$Y$8+I9*$Y$9+I10*$Y$10+I11*$Y$11+I12*$Y$12+I13*$Y$13+I14*$Y$14+I15*$Y$15+I16*$Y$16+I17*$Y$17+I18*$Y$18+I19*$Y$19+I20*$Y$20+I21*$Y$21+I22*$Y$22</f>
        <v>0</v>
      </c>
      <c r="J24" s="115">
        <f t="shared" ref="J24:W24" si="6">J8*$Y$8+J9*$Y$9+J10*$Y$10+J11*$Y$11+J12*$Y$12+J13*$Y$13+J14*$Y$14+J15*$Y$15+J16*$Y$16+J17*$Y$17+J18*$Y$18+J19*$Y$19+J20*$Y$20+J21*$Y$21+J22*$Y$22</f>
        <v>0</v>
      </c>
      <c r="K24" s="115">
        <f t="shared" si="6"/>
        <v>0</v>
      </c>
      <c r="L24" s="115">
        <f t="shared" si="6"/>
        <v>0</v>
      </c>
      <c r="M24" s="115">
        <f t="shared" si="6"/>
        <v>0</v>
      </c>
      <c r="N24" s="115">
        <f t="shared" si="6"/>
        <v>0</v>
      </c>
      <c r="O24" s="115">
        <f t="shared" si="6"/>
        <v>0</v>
      </c>
      <c r="P24" s="115">
        <f t="shared" si="6"/>
        <v>0</v>
      </c>
      <c r="Q24" s="115">
        <f t="shared" si="6"/>
        <v>0</v>
      </c>
      <c r="R24" s="115">
        <f t="shared" si="6"/>
        <v>0</v>
      </c>
      <c r="S24" s="115">
        <f t="shared" si="6"/>
        <v>0</v>
      </c>
      <c r="T24" s="115">
        <f t="shared" si="6"/>
        <v>0</v>
      </c>
      <c r="U24" s="115">
        <f t="shared" si="6"/>
        <v>0</v>
      </c>
      <c r="V24" s="116"/>
      <c r="W24" s="117">
        <f t="shared" si="6"/>
        <v>0</v>
      </c>
      <c r="X24" s="121"/>
      <c r="Y24" s="68"/>
      <c r="Z24" s="68"/>
      <c r="AA24" s="68"/>
      <c r="AB24" s="68"/>
      <c r="AC24" s="68"/>
      <c r="AD24" s="68"/>
    </row>
    <row r="25" spans="2:41" ht="15.75" thickBot="1" x14ac:dyDescent="0.3">
      <c r="B25" t="s">
        <v>137</v>
      </c>
      <c r="H25" s="68"/>
      <c r="I25" s="90"/>
      <c r="J25" s="90"/>
      <c r="K25" s="90"/>
      <c r="L25" s="90"/>
      <c r="M25" s="90"/>
      <c r="N25" s="90"/>
      <c r="O25" s="90"/>
      <c r="P25" s="90"/>
      <c r="Q25" s="90"/>
      <c r="R25" s="90"/>
      <c r="S25" s="90"/>
      <c r="T25" s="90"/>
      <c r="U25" s="90"/>
      <c r="V25" s="90"/>
      <c r="W25" s="90"/>
      <c r="X25" s="68"/>
      <c r="Y25" s="68"/>
      <c r="Z25" s="68"/>
      <c r="AA25" s="68"/>
      <c r="AB25" s="68"/>
    </row>
    <row r="26" spans="2:41" ht="15.75" thickBot="1" x14ac:dyDescent="0.3">
      <c r="B26" s="152"/>
      <c r="C26" s="153"/>
      <c r="D26" s="153" t="s">
        <v>136</v>
      </c>
      <c r="E26" s="153"/>
      <c r="F26" s="154">
        <v>3296741</v>
      </c>
      <c r="G26" s="155"/>
      <c r="H26" s="122"/>
      <c r="I26" s="122"/>
      <c r="J26" s="122"/>
      <c r="K26" s="122"/>
      <c r="L26" s="122"/>
      <c r="M26" s="122"/>
      <c r="N26" s="122"/>
      <c r="O26" s="122"/>
      <c r="P26" s="122"/>
      <c r="Q26" s="122"/>
      <c r="R26" s="122"/>
      <c r="S26" s="122"/>
      <c r="T26" s="122"/>
      <c r="U26" s="122"/>
      <c r="V26" s="122"/>
      <c r="W26" s="68"/>
      <c r="X26" s="68"/>
      <c r="Y26" s="68"/>
      <c r="Z26" s="68"/>
      <c r="AA26" s="68"/>
    </row>
    <row r="27" spans="2:41" ht="15.75" x14ac:dyDescent="0.25">
      <c r="B27" s="156"/>
      <c r="C27" s="122" t="s">
        <v>104</v>
      </c>
      <c r="D27" s="122" t="s">
        <v>105</v>
      </c>
      <c r="E27" s="122" t="s">
        <v>138</v>
      </c>
      <c r="F27" s="122" t="s">
        <v>107</v>
      </c>
      <c r="G27" s="157" t="s">
        <v>108</v>
      </c>
      <c r="H27" s="122"/>
      <c r="I27" s="126"/>
      <c r="J27" s="126"/>
      <c r="K27" s="126"/>
      <c r="L27" s="126"/>
      <c r="M27" s="126"/>
      <c r="N27" s="126"/>
      <c r="O27" s="126"/>
      <c r="P27" s="126"/>
      <c r="Q27" s="126"/>
      <c r="R27" s="126"/>
      <c r="S27" s="126"/>
      <c r="T27" s="126"/>
      <c r="U27" s="126"/>
      <c r="V27" s="126"/>
      <c r="W27" s="68"/>
      <c r="Y27" s="68"/>
    </row>
    <row r="28" spans="2:41" ht="15.75" x14ac:dyDescent="0.25">
      <c r="B28" s="156"/>
      <c r="C28" s="122">
        <v>2</v>
      </c>
      <c r="D28" s="123">
        <v>50900</v>
      </c>
      <c r="E28" s="123">
        <v>175300</v>
      </c>
      <c r="F28" s="129">
        <f>D28/$F$26</f>
        <v>1.5439490090365E-2</v>
      </c>
      <c r="G28" s="158">
        <f>E28/$F$26</f>
        <v>5.3173725203162762E-2</v>
      </c>
      <c r="H28" s="122"/>
      <c r="I28" s="122"/>
      <c r="J28" s="122"/>
      <c r="K28" s="122"/>
      <c r="L28" s="122"/>
      <c r="M28" s="122"/>
      <c r="N28" s="122"/>
      <c r="O28" s="127"/>
      <c r="P28" s="122"/>
      <c r="Q28" s="122"/>
      <c r="R28" s="122"/>
      <c r="S28" s="122"/>
      <c r="T28" s="122"/>
      <c r="U28" s="122"/>
      <c r="V28" s="122"/>
      <c r="W28" s="68"/>
      <c r="Y28" s="68"/>
    </row>
    <row r="29" spans="2:41" ht="15.75" x14ac:dyDescent="0.25">
      <c r="B29" s="156"/>
      <c r="C29" s="122">
        <v>3</v>
      </c>
      <c r="D29" s="123">
        <v>236000</v>
      </c>
      <c r="E29" s="123">
        <v>358500</v>
      </c>
      <c r="F29" s="129">
        <f t="shared" ref="F29:G42" si="7">D29/$F$26</f>
        <v>7.1585847963185456E-2</v>
      </c>
      <c r="G29" s="158">
        <f t="shared" si="7"/>
        <v>0.10874375633390673</v>
      </c>
      <c r="H29" s="122"/>
      <c r="I29" s="122"/>
      <c r="J29" s="122"/>
      <c r="K29" s="122"/>
      <c r="L29" s="122"/>
      <c r="M29" s="122"/>
      <c r="N29" s="122"/>
      <c r="O29" s="127"/>
      <c r="P29" s="122"/>
      <c r="Q29" s="122"/>
      <c r="R29" s="122"/>
      <c r="S29" s="122"/>
      <c r="T29" s="122"/>
      <c r="U29" s="122"/>
      <c r="V29" s="122"/>
      <c r="W29" s="68"/>
      <c r="Y29" s="68"/>
    </row>
    <row r="30" spans="2:41" ht="15.75" x14ac:dyDescent="0.25">
      <c r="B30" s="156"/>
      <c r="C30" s="122">
        <v>4</v>
      </c>
      <c r="D30" s="123">
        <v>0</v>
      </c>
      <c r="E30" s="123"/>
      <c r="F30" s="129">
        <f t="shared" si="7"/>
        <v>0</v>
      </c>
      <c r="G30" s="158">
        <f t="shared" si="7"/>
        <v>0</v>
      </c>
      <c r="H30" s="122"/>
      <c r="I30" s="122"/>
      <c r="J30" s="122"/>
      <c r="K30" s="122"/>
      <c r="L30" s="122"/>
      <c r="M30" s="122"/>
      <c r="N30" s="122"/>
      <c r="O30" s="127"/>
      <c r="P30" s="122"/>
      <c r="Q30" s="122"/>
      <c r="R30" s="122"/>
      <c r="S30" s="122"/>
      <c r="T30" s="122"/>
      <c r="U30" s="122"/>
      <c r="V30" s="122"/>
      <c r="W30" s="68"/>
      <c r="Y30" s="68"/>
    </row>
    <row r="31" spans="2:41" ht="15.75" x14ac:dyDescent="0.25">
      <c r="B31" s="156"/>
      <c r="C31" s="122">
        <v>5</v>
      </c>
      <c r="D31" s="123">
        <v>10000</v>
      </c>
      <c r="E31" s="123">
        <v>67000</v>
      </c>
      <c r="F31" s="129">
        <f t="shared" si="7"/>
        <v>3.0332986425078584E-3</v>
      </c>
      <c r="G31" s="158">
        <f t="shared" si="7"/>
        <v>2.0323100904802653E-2</v>
      </c>
      <c r="H31" s="122"/>
      <c r="I31" s="122"/>
      <c r="J31" s="122"/>
      <c r="K31" s="122"/>
      <c r="L31" s="122"/>
      <c r="M31" s="122"/>
      <c r="N31" s="122"/>
      <c r="O31" s="127"/>
      <c r="P31" s="122"/>
      <c r="Q31" s="122"/>
      <c r="R31" s="122"/>
      <c r="S31" s="122"/>
      <c r="T31" s="122"/>
      <c r="U31" s="122"/>
      <c r="V31" s="122"/>
      <c r="W31" s="68"/>
      <c r="Y31" s="68"/>
    </row>
    <row r="32" spans="2:41" ht="15.75" x14ac:dyDescent="0.25">
      <c r="B32" s="156"/>
      <c r="C32" s="122">
        <v>6</v>
      </c>
      <c r="D32" s="123">
        <v>2800</v>
      </c>
      <c r="E32" s="123">
        <v>18400</v>
      </c>
      <c r="F32" s="129">
        <f t="shared" si="7"/>
        <v>8.4932361990220034E-4</v>
      </c>
      <c r="G32" s="158">
        <f t="shared" si="7"/>
        <v>5.5812695022144599E-3</v>
      </c>
      <c r="H32" s="122"/>
      <c r="I32" s="122"/>
      <c r="J32" s="122"/>
      <c r="K32" s="122"/>
      <c r="L32" s="122"/>
      <c r="M32" s="122"/>
      <c r="N32" s="122"/>
      <c r="O32" s="127"/>
      <c r="P32" s="122"/>
      <c r="Q32" s="122"/>
      <c r="R32" s="122"/>
      <c r="S32" s="122"/>
      <c r="T32" s="122"/>
      <c r="U32" s="122"/>
      <c r="V32" s="122"/>
      <c r="W32" s="68"/>
      <c r="Y32" s="68"/>
    </row>
    <row r="33" spans="2:25" ht="15.75" x14ac:dyDescent="0.25">
      <c r="B33" s="156"/>
      <c r="C33" s="122">
        <v>7</v>
      </c>
      <c r="D33" s="123">
        <v>5500</v>
      </c>
      <c r="E33" s="123">
        <v>32900</v>
      </c>
      <c r="F33" s="129">
        <f t="shared" si="7"/>
        <v>1.6683142533793222E-3</v>
      </c>
      <c r="G33" s="158">
        <f t="shared" si="7"/>
        <v>9.9795525338508551E-3</v>
      </c>
      <c r="H33" s="122"/>
      <c r="I33" s="122"/>
      <c r="J33" s="122"/>
      <c r="K33" s="122"/>
      <c r="L33" s="122"/>
      <c r="M33" s="122"/>
      <c r="N33" s="122"/>
      <c r="O33" s="127"/>
      <c r="P33" s="122"/>
      <c r="Q33" s="122"/>
      <c r="R33" s="122"/>
      <c r="S33" s="122"/>
      <c r="T33" s="122"/>
      <c r="U33" s="122"/>
      <c r="V33" s="122"/>
      <c r="W33" s="68"/>
      <c r="Y33" s="68"/>
    </row>
    <row r="34" spans="2:25" ht="15.75" x14ac:dyDescent="0.25">
      <c r="B34" s="156"/>
      <c r="C34" s="122">
        <v>8</v>
      </c>
      <c r="D34" s="123">
        <v>2000</v>
      </c>
      <c r="E34" s="123">
        <v>25200</v>
      </c>
      <c r="F34" s="129">
        <f t="shared" si="7"/>
        <v>6.0665972850157174E-4</v>
      </c>
      <c r="G34" s="158">
        <f t="shared" si="7"/>
        <v>7.6439125791198034E-3</v>
      </c>
      <c r="H34" s="122"/>
      <c r="I34" s="122"/>
      <c r="J34" s="122"/>
      <c r="K34" s="122"/>
      <c r="L34" s="122"/>
      <c r="M34" s="122"/>
      <c r="N34" s="122"/>
      <c r="O34" s="127"/>
      <c r="P34" s="122"/>
      <c r="Q34" s="122"/>
      <c r="R34" s="122"/>
      <c r="S34" s="122"/>
      <c r="T34" s="122"/>
      <c r="U34" s="122"/>
      <c r="V34" s="122"/>
      <c r="W34" s="68"/>
      <c r="Y34" s="68"/>
    </row>
    <row r="35" spans="2:25" ht="15.75" x14ac:dyDescent="0.25">
      <c r="B35" s="156"/>
      <c r="C35" s="122">
        <v>9</v>
      </c>
      <c r="D35" s="123">
        <v>9500</v>
      </c>
      <c r="E35" s="123">
        <v>100500</v>
      </c>
      <c r="F35" s="129">
        <f t="shared" si="7"/>
        <v>2.8816337103824657E-3</v>
      </c>
      <c r="G35" s="158">
        <f t="shared" si="7"/>
        <v>3.048465135720398E-2</v>
      </c>
      <c r="H35" s="122"/>
      <c r="I35" s="122"/>
      <c r="J35" s="122"/>
      <c r="K35" s="122"/>
      <c r="L35" s="122"/>
      <c r="M35" s="122"/>
      <c r="N35" s="122"/>
      <c r="O35" s="127"/>
      <c r="P35" s="122"/>
      <c r="Q35" s="122"/>
      <c r="R35" s="122"/>
      <c r="S35" s="122"/>
      <c r="T35" s="122"/>
      <c r="U35" s="122"/>
      <c r="V35" s="122"/>
      <c r="W35" s="68"/>
      <c r="Y35" s="68"/>
    </row>
    <row r="36" spans="2:25" ht="15.75" x14ac:dyDescent="0.25">
      <c r="B36" s="156"/>
      <c r="C36" s="122">
        <v>10</v>
      </c>
      <c r="D36" s="123">
        <v>1600</v>
      </c>
      <c r="E36" s="123">
        <v>9500</v>
      </c>
      <c r="F36" s="129">
        <f t="shared" si="7"/>
        <v>4.8532778280125738E-4</v>
      </c>
      <c r="G36" s="158">
        <f t="shared" si="7"/>
        <v>2.8816337103824657E-3</v>
      </c>
      <c r="H36" s="122"/>
      <c r="I36" s="122"/>
      <c r="J36" s="122"/>
      <c r="K36" s="122"/>
      <c r="L36" s="122"/>
      <c r="M36" s="122"/>
      <c r="N36" s="122"/>
      <c r="O36" s="127"/>
      <c r="P36" s="122"/>
      <c r="Q36" s="122"/>
      <c r="R36" s="122"/>
      <c r="S36" s="122"/>
      <c r="T36" s="122"/>
      <c r="U36" s="122"/>
      <c r="V36" s="122"/>
      <c r="W36" s="68"/>
      <c r="Y36" s="68"/>
    </row>
    <row r="37" spans="2:25" ht="15.75" x14ac:dyDescent="0.25">
      <c r="B37" s="156"/>
      <c r="C37" s="122">
        <v>11</v>
      </c>
      <c r="D37" s="123">
        <v>11650</v>
      </c>
      <c r="E37" s="123">
        <v>716850</v>
      </c>
      <c r="F37" s="129">
        <f t="shared" si="7"/>
        <v>3.533792918521655E-3</v>
      </c>
      <c r="G37" s="158">
        <f t="shared" si="7"/>
        <v>0.21744201318817583</v>
      </c>
      <c r="H37" s="122"/>
      <c r="I37" s="122"/>
      <c r="J37" s="122"/>
      <c r="K37" s="122"/>
      <c r="L37" s="122"/>
      <c r="M37" s="122"/>
      <c r="N37" s="122"/>
      <c r="O37" s="127"/>
      <c r="P37" s="122"/>
      <c r="Q37" s="122"/>
      <c r="R37" s="122"/>
      <c r="S37" s="122"/>
      <c r="T37" s="122"/>
      <c r="U37" s="122"/>
      <c r="V37" s="122"/>
      <c r="W37" s="68"/>
      <c r="Y37" s="68"/>
    </row>
    <row r="38" spans="2:25" ht="15.75" x14ac:dyDescent="0.25">
      <c r="B38" s="156"/>
      <c r="C38" s="122">
        <v>12</v>
      </c>
      <c r="D38" s="123">
        <v>0</v>
      </c>
      <c r="E38" s="123"/>
      <c r="F38" s="129">
        <f t="shared" si="7"/>
        <v>0</v>
      </c>
      <c r="G38" s="158">
        <f t="shared" si="7"/>
        <v>0</v>
      </c>
      <c r="H38" s="122"/>
      <c r="I38" s="122"/>
      <c r="J38" s="122"/>
      <c r="K38" s="122"/>
      <c r="L38" s="122"/>
      <c r="M38" s="122"/>
      <c r="N38" s="122"/>
      <c r="O38" s="127"/>
      <c r="P38" s="122"/>
      <c r="Q38" s="122"/>
      <c r="R38" s="122"/>
      <c r="S38" s="122"/>
      <c r="T38" s="122"/>
      <c r="U38" s="122"/>
      <c r="V38" s="122"/>
      <c r="W38" s="68"/>
    </row>
    <row r="39" spans="2:25" ht="15.75" x14ac:dyDescent="0.25">
      <c r="B39" s="156"/>
      <c r="C39" s="122">
        <v>13</v>
      </c>
      <c r="D39" s="123">
        <v>4000</v>
      </c>
      <c r="E39" s="123">
        <v>48000</v>
      </c>
      <c r="F39" s="129">
        <f t="shared" si="7"/>
        <v>1.2133194570031435E-3</v>
      </c>
      <c r="G39" s="158">
        <f t="shared" si="7"/>
        <v>1.4559833484037721E-2</v>
      </c>
      <c r="H39" s="122"/>
      <c r="I39" s="122"/>
      <c r="J39" s="122"/>
      <c r="K39" s="122"/>
      <c r="L39" s="122"/>
      <c r="M39" s="122"/>
      <c r="N39" s="122"/>
      <c r="O39" s="127"/>
      <c r="P39" s="122"/>
      <c r="Q39" s="122"/>
      <c r="R39" s="122"/>
      <c r="S39" s="122"/>
      <c r="T39" s="122"/>
      <c r="U39" s="122"/>
      <c r="V39" s="122"/>
      <c r="W39" s="68"/>
    </row>
    <row r="40" spans="2:25" ht="15.75" x14ac:dyDescent="0.25">
      <c r="B40" s="156"/>
      <c r="C40" s="122">
        <v>14</v>
      </c>
      <c r="D40" s="123">
        <v>0</v>
      </c>
      <c r="E40" s="123"/>
      <c r="F40" s="129">
        <f t="shared" si="7"/>
        <v>0</v>
      </c>
      <c r="G40" s="158">
        <f t="shared" si="7"/>
        <v>0</v>
      </c>
      <c r="H40" s="122"/>
      <c r="I40" s="122"/>
      <c r="J40" s="122"/>
      <c r="K40" s="122"/>
      <c r="L40" s="122"/>
      <c r="M40" s="122"/>
      <c r="N40" s="122"/>
      <c r="O40" s="127"/>
      <c r="P40" s="122"/>
      <c r="Q40" s="122"/>
      <c r="R40" s="122"/>
      <c r="S40" s="122"/>
      <c r="T40" s="122"/>
      <c r="U40" s="122"/>
      <c r="V40" s="122"/>
      <c r="W40" s="68"/>
    </row>
    <row r="41" spans="2:25" x14ac:dyDescent="0.25">
      <c r="B41" s="156"/>
      <c r="C41" s="122">
        <v>15</v>
      </c>
      <c r="D41" s="123">
        <v>15500</v>
      </c>
      <c r="E41" s="123">
        <v>317400</v>
      </c>
      <c r="F41" s="129">
        <f t="shared" si="7"/>
        <v>4.7016128958871804E-3</v>
      </c>
      <c r="G41" s="158">
        <f t="shared" si="7"/>
        <v>9.6276898913199432E-2</v>
      </c>
      <c r="H41" s="122"/>
      <c r="I41" s="122"/>
      <c r="J41" s="122"/>
      <c r="K41" s="122"/>
      <c r="L41" s="122"/>
      <c r="M41" s="122"/>
      <c r="N41" s="122"/>
      <c r="O41" s="122"/>
      <c r="P41" s="122"/>
      <c r="Q41" s="122"/>
      <c r="R41" s="122"/>
      <c r="S41" s="122"/>
      <c r="T41" s="122"/>
      <c r="U41" s="122"/>
      <c r="V41" s="122"/>
      <c r="W41" s="68"/>
    </row>
    <row r="42" spans="2:25" ht="15.75" thickBot="1" x14ac:dyDescent="0.3">
      <c r="B42" s="159"/>
      <c r="C42" s="160">
        <v>16</v>
      </c>
      <c r="D42" s="161">
        <v>132500</v>
      </c>
      <c r="E42" s="161">
        <v>527500</v>
      </c>
      <c r="F42" s="162">
        <f t="shared" si="7"/>
        <v>4.0191207013229126E-2</v>
      </c>
      <c r="G42" s="163">
        <f t="shared" si="7"/>
        <v>0.16000650339228953</v>
      </c>
      <c r="H42" s="122"/>
      <c r="I42" s="122"/>
      <c r="J42" s="122"/>
      <c r="K42" s="122"/>
      <c r="L42" s="122"/>
      <c r="M42" s="122"/>
      <c r="N42" s="122"/>
      <c r="O42" s="122"/>
      <c r="P42" s="122"/>
      <c r="Q42" s="122"/>
      <c r="R42" s="122"/>
      <c r="S42" s="122"/>
      <c r="T42" s="122"/>
      <c r="U42" s="122"/>
      <c r="V42" s="122"/>
      <c r="W42" s="68"/>
    </row>
    <row r="43" spans="2:25" x14ac:dyDescent="0.25">
      <c r="B43" s="164"/>
      <c r="C43" s="164"/>
      <c r="D43" s="164"/>
      <c r="E43" s="164"/>
      <c r="F43" s="164"/>
      <c r="G43" s="164"/>
      <c r="H43" s="122"/>
      <c r="I43" s="122"/>
      <c r="J43" s="122"/>
      <c r="K43" s="122"/>
      <c r="L43" s="122"/>
      <c r="M43" s="122"/>
      <c r="N43" s="122"/>
      <c r="O43" s="122"/>
      <c r="P43" s="122"/>
      <c r="Q43" s="122"/>
      <c r="R43" s="122"/>
      <c r="S43" s="122"/>
      <c r="T43" s="122"/>
      <c r="U43" s="122"/>
      <c r="V43" s="122"/>
      <c r="W43" s="68"/>
    </row>
    <row r="44" spans="2:25" ht="15.75" thickBot="1" x14ac:dyDescent="0.3">
      <c r="B44" s="164"/>
      <c r="C44" s="164"/>
      <c r="D44" s="164"/>
      <c r="E44" s="164"/>
      <c r="F44" s="164"/>
      <c r="G44" s="164"/>
      <c r="H44" s="122"/>
      <c r="I44" s="122"/>
      <c r="J44" s="122"/>
      <c r="K44" s="122"/>
      <c r="L44" s="122"/>
      <c r="M44" s="122"/>
      <c r="N44" s="122"/>
      <c r="O44" s="122"/>
      <c r="P44" s="122"/>
      <c r="Q44" s="122"/>
      <c r="R44" s="122"/>
      <c r="S44" s="122"/>
      <c r="T44" s="122"/>
      <c r="U44" s="122"/>
      <c r="V44" s="122"/>
      <c r="W44" s="68"/>
    </row>
    <row r="45" spans="2:25" ht="15.75" thickBot="1" x14ac:dyDescent="0.3">
      <c r="B45" s="152"/>
      <c r="C45" s="153"/>
      <c r="D45" s="153" t="s">
        <v>136</v>
      </c>
      <c r="E45" s="153"/>
      <c r="F45" s="154">
        <v>4908999</v>
      </c>
      <c r="G45" s="155"/>
      <c r="H45" s="122"/>
      <c r="I45" s="122"/>
      <c r="J45" s="122"/>
      <c r="K45" s="122"/>
      <c r="L45" s="122"/>
      <c r="M45" s="122"/>
      <c r="N45" s="122"/>
      <c r="O45" s="122"/>
      <c r="P45" s="122"/>
      <c r="Q45" s="122"/>
      <c r="R45" s="122"/>
      <c r="S45" s="122"/>
      <c r="T45" s="122"/>
      <c r="U45" s="122"/>
      <c r="V45" s="122"/>
      <c r="W45" s="68"/>
    </row>
    <row r="46" spans="2:25" ht="15.75" x14ac:dyDescent="0.25">
      <c r="B46" s="156"/>
      <c r="C46" s="130" t="s">
        <v>104</v>
      </c>
      <c r="D46" s="130" t="s">
        <v>105</v>
      </c>
      <c r="E46" s="130" t="s">
        <v>138</v>
      </c>
      <c r="F46" s="130" t="s">
        <v>107</v>
      </c>
      <c r="G46" s="165" t="s">
        <v>108</v>
      </c>
      <c r="H46" s="122"/>
      <c r="I46" s="126"/>
      <c r="J46" s="126"/>
      <c r="K46" s="126"/>
      <c r="L46" s="126"/>
      <c r="M46" s="126"/>
      <c r="N46" s="126"/>
      <c r="O46" s="126"/>
      <c r="P46" s="126"/>
      <c r="Q46" s="126"/>
      <c r="R46" s="126"/>
      <c r="S46" s="126"/>
      <c r="T46" s="126"/>
      <c r="U46" s="126"/>
      <c r="V46" s="126"/>
      <c r="W46" s="68"/>
    </row>
    <row r="47" spans="2:25" ht="15.75" x14ac:dyDescent="0.25">
      <c r="B47" s="156"/>
      <c r="C47" s="122">
        <v>2</v>
      </c>
      <c r="D47" s="123">
        <f>120548</f>
        <v>120548</v>
      </c>
      <c r="E47" s="123">
        <v>310884</v>
      </c>
      <c r="F47" s="129">
        <f>D47/$F$45</f>
        <v>2.455653382695739E-2</v>
      </c>
      <c r="G47" s="158">
        <f>E47/$F$45</f>
        <v>6.3329407889469932E-2</v>
      </c>
      <c r="H47" s="122"/>
      <c r="I47" s="122"/>
      <c r="J47" s="122"/>
      <c r="K47" s="122"/>
      <c r="L47" s="122"/>
      <c r="M47" s="122"/>
      <c r="N47" s="122"/>
      <c r="O47" s="127"/>
      <c r="P47" s="122"/>
      <c r="Q47" s="122"/>
      <c r="R47" s="122"/>
      <c r="S47" s="122"/>
      <c r="T47" s="122"/>
      <c r="U47" s="122"/>
      <c r="V47" s="122"/>
      <c r="W47" s="68"/>
    </row>
    <row r="48" spans="2:25" ht="15.75" x14ac:dyDescent="0.25">
      <c r="B48" s="156"/>
      <c r="C48" s="122">
        <v>3</v>
      </c>
      <c r="D48" s="123">
        <f>370361</f>
        <v>370361</v>
      </c>
      <c r="E48" s="123">
        <v>542885</v>
      </c>
      <c r="F48" s="129">
        <f t="shared" ref="F48:G61" si="8">D48/$F$45</f>
        <v>7.544531991145241E-2</v>
      </c>
      <c r="G48" s="158">
        <f t="shared" si="8"/>
        <v>0.11058975567116636</v>
      </c>
      <c r="H48" s="122"/>
      <c r="I48" s="122"/>
      <c r="J48" s="122"/>
      <c r="K48" s="122"/>
      <c r="L48" s="122"/>
      <c r="M48" s="122"/>
      <c r="N48" s="122"/>
      <c r="O48" s="127"/>
      <c r="P48" s="122"/>
      <c r="Q48" s="122"/>
      <c r="R48" s="122"/>
      <c r="S48" s="122"/>
      <c r="T48" s="122"/>
      <c r="U48" s="122"/>
      <c r="V48" s="122"/>
      <c r="W48" s="68"/>
    </row>
    <row r="49" spans="2:23" ht="15.75" x14ac:dyDescent="0.25">
      <c r="B49" s="156"/>
      <c r="C49" s="122">
        <v>4</v>
      </c>
      <c r="D49" s="123">
        <f>37000</f>
        <v>37000</v>
      </c>
      <c r="E49" s="123">
        <v>100000</v>
      </c>
      <c r="F49" s="129">
        <f t="shared" si="8"/>
        <v>7.5371781497612853E-3</v>
      </c>
      <c r="G49" s="158">
        <f t="shared" si="8"/>
        <v>2.0370751756111583E-2</v>
      </c>
      <c r="H49" s="122"/>
      <c r="I49" s="122"/>
      <c r="J49" s="122"/>
      <c r="K49" s="122"/>
      <c r="L49" s="122"/>
      <c r="M49" s="122"/>
      <c r="N49" s="122"/>
      <c r="O49" s="127"/>
      <c r="P49" s="122"/>
      <c r="Q49" s="122"/>
      <c r="R49" s="122"/>
      <c r="S49" s="122"/>
      <c r="T49" s="122"/>
      <c r="U49" s="122"/>
      <c r="V49" s="122"/>
      <c r="W49" s="68"/>
    </row>
    <row r="50" spans="2:23" ht="15.75" x14ac:dyDescent="0.25">
      <c r="B50" s="156"/>
      <c r="C50" s="122">
        <v>5</v>
      </c>
      <c r="D50" s="123">
        <f>10656</f>
        <v>10656</v>
      </c>
      <c r="E50" s="123">
        <v>170200</v>
      </c>
      <c r="F50" s="129">
        <f t="shared" si="8"/>
        <v>2.1707073071312501E-3</v>
      </c>
      <c r="G50" s="158">
        <f t="shared" si="8"/>
        <v>3.4671019488901909E-2</v>
      </c>
      <c r="H50" s="122"/>
      <c r="I50" s="122"/>
      <c r="J50" s="122"/>
      <c r="K50" s="122"/>
      <c r="L50" s="122"/>
      <c r="M50" s="122"/>
      <c r="N50" s="122"/>
      <c r="O50" s="127"/>
      <c r="P50" s="122"/>
      <c r="Q50" s="122"/>
      <c r="R50" s="122"/>
      <c r="S50" s="122"/>
      <c r="T50" s="122"/>
      <c r="U50" s="122"/>
      <c r="V50" s="122"/>
      <c r="W50" s="68"/>
    </row>
    <row r="51" spans="2:23" ht="15.75" x14ac:dyDescent="0.25">
      <c r="B51" s="156"/>
      <c r="C51" s="122">
        <v>6</v>
      </c>
      <c r="D51" s="123">
        <f>14750</f>
        <v>14750</v>
      </c>
      <c r="E51" s="123">
        <v>18496</v>
      </c>
      <c r="F51" s="129">
        <f t="shared" si="8"/>
        <v>3.0046858840264584E-3</v>
      </c>
      <c r="G51" s="158">
        <f t="shared" si="8"/>
        <v>3.7677742448103983E-3</v>
      </c>
      <c r="H51" s="122"/>
      <c r="I51" s="122"/>
      <c r="J51" s="122"/>
      <c r="K51" s="122"/>
      <c r="L51" s="122"/>
      <c r="M51" s="122"/>
      <c r="N51" s="122"/>
      <c r="O51" s="127"/>
      <c r="P51" s="122"/>
      <c r="Q51" s="122"/>
      <c r="R51" s="122"/>
      <c r="S51" s="122"/>
      <c r="T51" s="122"/>
      <c r="U51" s="122"/>
      <c r="V51" s="122"/>
      <c r="W51" s="68"/>
    </row>
    <row r="52" spans="2:23" ht="15.75" x14ac:dyDescent="0.25">
      <c r="B52" s="156"/>
      <c r="C52" s="122">
        <v>7</v>
      </c>
      <c r="D52" s="123">
        <f>12920</f>
        <v>12920</v>
      </c>
      <c r="E52" s="123">
        <v>81223</v>
      </c>
      <c r="F52" s="129">
        <f t="shared" si="8"/>
        <v>2.6319011268896163E-3</v>
      </c>
      <c r="G52" s="158">
        <f t="shared" si="8"/>
        <v>1.6545735698866509E-2</v>
      </c>
      <c r="H52" s="122"/>
      <c r="I52" s="122"/>
      <c r="J52" s="122"/>
      <c r="K52" s="122"/>
      <c r="L52" s="122"/>
      <c r="M52" s="122"/>
      <c r="N52" s="122"/>
      <c r="O52" s="127"/>
      <c r="P52" s="122"/>
      <c r="Q52" s="122"/>
      <c r="R52" s="122"/>
      <c r="S52" s="122"/>
      <c r="T52" s="122"/>
      <c r="U52" s="122"/>
      <c r="V52" s="122"/>
      <c r="W52" s="68"/>
    </row>
    <row r="53" spans="2:23" ht="15.75" x14ac:dyDescent="0.25">
      <c r="B53" s="156"/>
      <c r="C53" s="122">
        <v>8</v>
      </c>
      <c r="D53" s="123">
        <f>5053</f>
        <v>5053</v>
      </c>
      <c r="E53" s="123">
        <v>23824</v>
      </c>
      <c r="F53" s="129">
        <f t="shared" si="8"/>
        <v>1.0293340862363182E-3</v>
      </c>
      <c r="G53" s="158">
        <f t="shared" si="8"/>
        <v>4.8531278983760234E-3</v>
      </c>
      <c r="H53" s="122"/>
      <c r="I53" s="122"/>
      <c r="J53" s="122"/>
      <c r="K53" s="122"/>
      <c r="L53" s="122"/>
      <c r="M53" s="122"/>
      <c r="N53" s="122"/>
      <c r="O53" s="127"/>
      <c r="P53" s="122"/>
      <c r="Q53" s="122"/>
      <c r="R53" s="122"/>
      <c r="S53" s="122"/>
      <c r="T53" s="122"/>
      <c r="U53" s="122"/>
      <c r="V53" s="122"/>
      <c r="W53" s="68"/>
    </row>
    <row r="54" spans="2:23" ht="15.75" x14ac:dyDescent="0.25">
      <c r="B54" s="156"/>
      <c r="C54" s="122">
        <v>9</v>
      </c>
      <c r="D54" s="123">
        <f>70000</f>
        <v>70000</v>
      </c>
      <c r="E54" s="123">
        <v>103989</v>
      </c>
      <c r="F54" s="129">
        <f t="shared" si="8"/>
        <v>1.4259526229278107E-2</v>
      </c>
      <c r="G54" s="158">
        <f t="shared" si="8"/>
        <v>2.1183341043662873E-2</v>
      </c>
      <c r="H54" s="122"/>
      <c r="I54" s="122"/>
      <c r="J54" s="122"/>
      <c r="K54" s="122"/>
      <c r="L54" s="122"/>
      <c r="M54" s="122"/>
      <c r="N54" s="122"/>
      <c r="O54" s="127"/>
      <c r="P54" s="122"/>
      <c r="Q54" s="122"/>
      <c r="R54" s="122"/>
      <c r="S54" s="122"/>
      <c r="T54" s="122"/>
      <c r="U54" s="122"/>
      <c r="V54" s="122"/>
      <c r="W54" s="68"/>
    </row>
    <row r="55" spans="2:23" ht="15.75" x14ac:dyDescent="0.25">
      <c r="B55" s="156"/>
      <c r="C55" s="122">
        <v>10</v>
      </c>
      <c r="D55" s="123">
        <f>536</f>
        <v>536</v>
      </c>
      <c r="E55" s="123">
        <v>2374</v>
      </c>
      <c r="F55" s="129">
        <f t="shared" si="8"/>
        <v>1.0918722941275807E-4</v>
      </c>
      <c r="G55" s="158">
        <f t="shared" si="8"/>
        <v>4.8360164669008896E-4</v>
      </c>
      <c r="H55" s="122"/>
      <c r="I55" s="122"/>
      <c r="J55" s="122"/>
      <c r="K55" s="122"/>
      <c r="L55" s="122"/>
      <c r="M55" s="122"/>
      <c r="N55" s="122"/>
      <c r="O55" s="127"/>
      <c r="P55" s="122"/>
      <c r="Q55" s="122"/>
      <c r="R55" s="122"/>
      <c r="S55" s="122"/>
      <c r="T55" s="122"/>
      <c r="U55" s="122"/>
      <c r="V55" s="122"/>
      <c r="W55" s="68"/>
    </row>
    <row r="56" spans="2:23" ht="15.75" x14ac:dyDescent="0.25">
      <c r="B56" s="156"/>
      <c r="C56" s="122">
        <v>11</v>
      </c>
      <c r="D56" s="123">
        <f>10627</f>
        <v>10627</v>
      </c>
      <c r="E56" s="123">
        <v>746167</v>
      </c>
      <c r="F56" s="129">
        <f t="shared" si="8"/>
        <v>2.1647997891219776E-3</v>
      </c>
      <c r="G56" s="158">
        <f t="shared" si="8"/>
        <v>0.15199982725602512</v>
      </c>
      <c r="H56" s="122"/>
      <c r="I56" s="122"/>
      <c r="J56" s="122"/>
      <c r="K56" s="122"/>
      <c r="L56" s="122"/>
      <c r="M56" s="122"/>
      <c r="N56" s="122"/>
      <c r="O56" s="127"/>
      <c r="P56" s="122"/>
      <c r="Q56" s="122"/>
      <c r="R56" s="122"/>
      <c r="S56" s="122"/>
      <c r="T56" s="122"/>
      <c r="U56" s="122"/>
      <c r="V56" s="122"/>
      <c r="W56" s="68"/>
    </row>
    <row r="57" spans="2:23" ht="15.75" x14ac:dyDescent="0.25">
      <c r="B57" s="156"/>
      <c r="C57" s="122">
        <v>12</v>
      </c>
      <c r="D57" s="123"/>
      <c r="E57" s="123"/>
      <c r="F57" s="129">
        <f t="shared" si="8"/>
        <v>0</v>
      </c>
      <c r="G57" s="158">
        <f t="shared" si="8"/>
        <v>0</v>
      </c>
      <c r="H57" s="122"/>
      <c r="I57" s="122"/>
      <c r="J57" s="122"/>
      <c r="K57" s="122"/>
      <c r="L57" s="122"/>
      <c r="M57" s="122"/>
      <c r="N57" s="122"/>
      <c r="O57" s="127"/>
      <c r="P57" s="122"/>
      <c r="Q57" s="122"/>
      <c r="R57" s="122"/>
      <c r="S57" s="122"/>
      <c r="T57" s="122"/>
      <c r="U57" s="122"/>
      <c r="V57" s="122"/>
      <c r="W57" s="68"/>
    </row>
    <row r="58" spans="2:23" ht="15.75" x14ac:dyDescent="0.25">
      <c r="B58" s="156"/>
      <c r="C58" s="122">
        <v>13</v>
      </c>
      <c r="D58" s="123">
        <f>708</f>
        <v>708</v>
      </c>
      <c r="E58" s="123">
        <v>174900</v>
      </c>
      <c r="F58" s="129">
        <f t="shared" si="8"/>
        <v>1.4422492243326999E-4</v>
      </c>
      <c r="G58" s="158">
        <f t="shared" si="8"/>
        <v>3.5628444821439155E-2</v>
      </c>
      <c r="H58" s="122"/>
      <c r="I58" s="122"/>
      <c r="J58" s="122"/>
      <c r="K58" s="122"/>
      <c r="L58" s="122"/>
      <c r="M58" s="122"/>
      <c r="N58" s="122"/>
      <c r="O58" s="127"/>
      <c r="P58" s="122"/>
      <c r="Q58" s="122"/>
      <c r="R58" s="122"/>
      <c r="S58" s="122"/>
      <c r="T58" s="122"/>
      <c r="U58" s="122"/>
      <c r="V58" s="122"/>
      <c r="W58" s="68"/>
    </row>
    <row r="59" spans="2:23" ht="15.75" x14ac:dyDescent="0.25">
      <c r="B59" s="156"/>
      <c r="C59" s="122">
        <v>14</v>
      </c>
      <c r="D59" s="123">
        <f>2834</f>
        <v>2834</v>
      </c>
      <c r="E59" s="123">
        <v>27838</v>
      </c>
      <c r="F59" s="129">
        <f t="shared" si="8"/>
        <v>5.7730710476820225E-4</v>
      </c>
      <c r="G59" s="158">
        <f t="shared" si="8"/>
        <v>5.6708098738663419E-3</v>
      </c>
      <c r="H59" s="122"/>
      <c r="I59" s="122"/>
      <c r="J59" s="122"/>
      <c r="K59" s="122"/>
      <c r="L59" s="122"/>
      <c r="M59" s="122"/>
      <c r="N59" s="122"/>
      <c r="O59" s="127"/>
      <c r="P59" s="122"/>
      <c r="Q59" s="122"/>
      <c r="R59" s="122"/>
      <c r="S59" s="122"/>
      <c r="T59" s="122"/>
      <c r="U59" s="122"/>
      <c r="V59" s="122"/>
      <c r="W59" s="68"/>
    </row>
    <row r="60" spans="2:23" x14ac:dyDescent="0.25">
      <c r="B60" s="156"/>
      <c r="C60" s="122">
        <v>15</v>
      </c>
      <c r="D60" s="123">
        <f>96554</f>
        <v>96554</v>
      </c>
      <c r="E60" s="123">
        <v>487188</v>
      </c>
      <c r="F60" s="129">
        <f t="shared" si="8"/>
        <v>1.9668775650595976E-2</v>
      </c>
      <c r="G60" s="158">
        <f t="shared" si="8"/>
        <v>9.9243858065564891E-2</v>
      </c>
      <c r="H60" s="122"/>
      <c r="I60" s="122"/>
      <c r="J60" s="122"/>
      <c r="K60" s="122"/>
      <c r="L60" s="122"/>
      <c r="M60" s="122"/>
      <c r="N60" s="122"/>
      <c r="O60" s="122"/>
      <c r="P60" s="122"/>
      <c r="Q60" s="122"/>
      <c r="R60" s="122"/>
      <c r="S60" s="122"/>
      <c r="T60" s="122"/>
      <c r="U60" s="122"/>
      <c r="V60" s="122"/>
      <c r="W60" s="68"/>
    </row>
    <row r="61" spans="2:23" ht="15.75" thickBot="1" x14ac:dyDescent="0.3">
      <c r="B61" s="159"/>
      <c r="C61" s="160">
        <v>16</v>
      </c>
      <c r="D61" s="161">
        <f>145420</f>
        <v>145420</v>
      </c>
      <c r="E61" s="161">
        <v>698623</v>
      </c>
      <c r="F61" s="162">
        <f t="shared" si="8"/>
        <v>2.9623147203737463E-2</v>
      </c>
      <c r="G61" s="163">
        <f t="shared" si="8"/>
        <v>0.14231475704109942</v>
      </c>
      <c r="H61" s="122"/>
      <c r="I61" s="122"/>
      <c r="J61" s="122"/>
      <c r="K61" s="122"/>
      <c r="L61" s="122"/>
      <c r="M61" s="122"/>
      <c r="N61" s="122"/>
      <c r="O61" s="122"/>
      <c r="P61" s="122"/>
      <c r="Q61" s="122"/>
      <c r="R61" s="122"/>
      <c r="S61" s="122"/>
      <c r="T61" s="122"/>
      <c r="U61" s="122"/>
      <c r="V61" s="122"/>
      <c r="W61" s="68"/>
    </row>
    <row r="62" spans="2:23" x14ac:dyDescent="0.25">
      <c r="H62" s="68"/>
      <c r="I62" s="68"/>
      <c r="J62" s="68"/>
      <c r="K62" s="68"/>
      <c r="L62" s="68"/>
      <c r="M62" s="68"/>
      <c r="N62" s="68"/>
      <c r="O62" s="68"/>
      <c r="P62" s="68"/>
      <c r="Q62" s="68"/>
      <c r="R62" s="68"/>
      <c r="S62" s="68"/>
      <c r="T62" s="68"/>
      <c r="U62" s="68"/>
      <c r="V62" s="68"/>
      <c r="W62" s="68"/>
    </row>
    <row r="63" spans="2:23" x14ac:dyDescent="0.25">
      <c r="H63" s="68"/>
      <c r="I63" s="68"/>
      <c r="J63" s="68"/>
      <c r="K63" s="68"/>
      <c r="L63" s="68"/>
      <c r="M63" s="68"/>
      <c r="N63" s="68"/>
      <c r="O63" s="68"/>
      <c r="P63" s="68"/>
      <c r="Q63" s="68"/>
      <c r="R63" s="68"/>
      <c r="S63" s="68"/>
      <c r="T63" s="68"/>
      <c r="U63" s="68"/>
      <c r="V63" s="68"/>
      <c r="W63" s="68"/>
    </row>
    <row r="64" spans="2:23" x14ac:dyDescent="0.25">
      <c r="H64" s="68"/>
      <c r="I64" s="68"/>
      <c r="J64" s="68"/>
      <c r="K64" s="68"/>
      <c r="L64" s="68"/>
      <c r="M64" s="68"/>
      <c r="N64" s="68"/>
      <c r="O64" s="68"/>
      <c r="P64" s="68"/>
      <c r="Q64" s="68"/>
      <c r="R64" s="68"/>
      <c r="S64" s="68"/>
      <c r="T64" s="68"/>
      <c r="U64" s="68"/>
      <c r="V64" s="68"/>
      <c r="W64" s="68"/>
    </row>
    <row r="65" spans="8:23" x14ac:dyDescent="0.25">
      <c r="H65" s="68"/>
      <c r="I65" s="68"/>
      <c r="J65" s="68"/>
      <c r="K65" s="68"/>
      <c r="L65" s="68"/>
      <c r="M65" s="68"/>
      <c r="N65" s="68"/>
      <c r="O65" s="68"/>
      <c r="P65" s="68"/>
      <c r="Q65" s="68"/>
      <c r="R65" s="68"/>
      <c r="S65" s="68"/>
      <c r="T65" s="68"/>
      <c r="U65" s="68"/>
      <c r="V65" s="68"/>
      <c r="W65" s="68"/>
    </row>
    <row r="66" spans="8:23" x14ac:dyDescent="0.25">
      <c r="H66" s="68"/>
      <c r="I66" s="68"/>
      <c r="J66" s="68"/>
      <c r="K66" s="68"/>
      <c r="L66" s="68"/>
      <c r="M66" s="68"/>
      <c r="N66" s="68"/>
      <c r="O66" s="68"/>
      <c r="P66" s="68"/>
      <c r="Q66" s="68"/>
      <c r="R66" s="68"/>
      <c r="S66" s="68"/>
      <c r="T66" s="68"/>
      <c r="U66" s="68"/>
      <c r="V66" s="68"/>
      <c r="W66" s="68"/>
    </row>
    <row r="67" spans="8:23" x14ac:dyDescent="0.25">
      <c r="H67" s="68"/>
      <c r="I67" s="68"/>
      <c r="J67" s="68"/>
      <c r="K67" s="68"/>
      <c r="L67" s="68"/>
      <c r="M67" s="68"/>
      <c r="N67" s="68"/>
      <c r="O67" s="68"/>
      <c r="P67" s="68"/>
      <c r="Q67" s="68"/>
      <c r="R67" s="68"/>
      <c r="S67" s="68"/>
      <c r="T67" s="68"/>
      <c r="U67" s="68"/>
      <c r="V67" s="68"/>
      <c r="W67" s="68"/>
    </row>
    <row r="68" spans="8:23" x14ac:dyDescent="0.25">
      <c r="H68" s="68"/>
      <c r="I68" s="68"/>
      <c r="J68" s="68"/>
      <c r="K68" s="68"/>
      <c r="L68" s="68"/>
      <c r="M68" s="68"/>
      <c r="N68" s="68"/>
      <c r="O68" s="68"/>
      <c r="P68" s="68"/>
      <c r="Q68" s="68"/>
      <c r="R68" s="68"/>
      <c r="S68" s="68"/>
      <c r="T68" s="68"/>
      <c r="U68" s="68"/>
      <c r="V68" s="68"/>
      <c r="W68" s="68"/>
    </row>
    <row r="69" spans="8:23" x14ac:dyDescent="0.25">
      <c r="H69" s="68"/>
      <c r="I69" s="68"/>
      <c r="J69" s="68"/>
      <c r="K69" s="68"/>
      <c r="L69" s="68"/>
      <c r="M69" s="68"/>
      <c r="N69" s="68"/>
      <c r="O69" s="68"/>
      <c r="P69" s="68"/>
      <c r="Q69" s="68"/>
      <c r="R69" s="68"/>
      <c r="S69" s="68"/>
      <c r="T69" s="68"/>
      <c r="U69" s="68"/>
      <c r="V69" s="68"/>
      <c r="W69" s="68"/>
    </row>
    <row r="70" spans="8:23" x14ac:dyDescent="0.25">
      <c r="H70" s="68"/>
      <c r="I70" s="68"/>
      <c r="J70" s="68"/>
      <c r="K70" s="68"/>
      <c r="L70" s="68"/>
      <c r="M70" s="68"/>
      <c r="N70" s="68"/>
      <c r="O70" s="68"/>
      <c r="P70" s="68"/>
      <c r="Q70" s="68"/>
      <c r="R70" s="68"/>
      <c r="S70" s="68"/>
      <c r="T70" s="68"/>
      <c r="U70" s="68"/>
      <c r="V70" s="68"/>
      <c r="W70" s="68"/>
    </row>
    <row r="71" spans="8:23" x14ac:dyDescent="0.25">
      <c r="H71" s="68"/>
      <c r="I71" s="68"/>
      <c r="J71" s="68"/>
      <c r="K71" s="68"/>
      <c r="L71" s="68"/>
      <c r="M71" s="68"/>
      <c r="N71" s="68"/>
      <c r="O71" s="68"/>
      <c r="P71" s="68"/>
      <c r="Q71" s="68"/>
      <c r="R71" s="68"/>
      <c r="S71" s="68"/>
      <c r="T71" s="68"/>
      <c r="U71" s="68"/>
      <c r="V71" s="68"/>
      <c r="W71" s="68"/>
    </row>
    <row r="72" spans="8:23" x14ac:dyDescent="0.25">
      <c r="H72" s="68"/>
      <c r="I72" s="68"/>
      <c r="J72" s="68"/>
      <c r="K72" s="68"/>
      <c r="L72" s="68"/>
      <c r="M72" s="68"/>
      <c r="N72" s="68"/>
      <c r="O72" s="68"/>
      <c r="P72" s="68"/>
      <c r="Q72" s="68"/>
      <c r="R72" s="68"/>
      <c r="S72" s="68"/>
      <c r="T72" s="68"/>
      <c r="U72" s="68"/>
      <c r="V72" s="68"/>
      <c r="W72" s="68"/>
    </row>
  </sheetData>
  <mergeCells count="1">
    <mergeCell ref="I7:W7"/>
  </mergeCells>
  <phoneticPr fontId="57" type="noConversion"/>
  <pageMargins left="0.7" right="0.7" top="0.75" bottom="0.75" header="0.3" footer="0.3"/>
  <pageSetup scale="41" orientation="landscape" r:id="rId1"/>
  <headerFooter>
    <oddHeader>&amp;C&amp;A&amp;R&amp;A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52"/>
  <sheetViews>
    <sheetView showGridLines="0" topLeftCell="B25" zoomScale="75" zoomScaleNormal="75" zoomScaleSheetLayoutView="90" workbookViewId="0">
      <selection activeCell="C23" sqref="C23:E23"/>
    </sheetView>
  </sheetViews>
  <sheetFormatPr defaultRowHeight="15" x14ac:dyDescent="0.25"/>
  <cols>
    <col min="1" max="1" width="4.28515625" customWidth="1"/>
    <col min="2" max="2" width="60" customWidth="1"/>
    <col min="3" max="3" width="17.42578125" customWidth="1"/>
    <col min="4" max="5" width="17.42578125" style="31" customWidth="1"/>
    <col min="6" max="6" width="6" customWidth="1"/>
  </cols>
  <sheetData>
    <row r="1" spans="2:5" ht="7.15" customHeight="1" x14ac:dyDescent="0.25"/>
    <row r="2" spans="2:5" ht="23.25" x14ac:dyDescent="0.35">
      <c r="B2" s="407" t="s">
        <v>40</v>
      </c>
      <c r="C2" s="407"/>
      <c r="D2" s="407"/>
    </row>
    <row r="3" spans="2:5" ht="23.25" x14ac:dyDescent="0.35">
      <c r="B3" s="407" t="s">
        <v>39</v>
      </c>
      <c r="C3" s="407"/>
      <c r="D3" s="407"/>
    </row>
    <row r="4" spans="2:5" ht="23.25" x14ac:dyDescent="0.35">
      <c r="B4" s="407" t="s">
        <v>38</v>
      </c>
      <c r="C4" s="407"/>
      <c r="D4" s="407"/>
    </row>
    <row r="5" spans="2:5" ht="15.75" thickBot="1" x14ac:dyDescent="0.3">
      <c r="B5" s="408"/>
      <c r="C5" s="408"/>
      <c r="D5" s="408"/>
    </row>
    <row r="6" spans="2:5" s="33" customFormat="1" ht="42.6" customHeight="1" thickBot="1" x14ac:dyDescent="0.35">
      <c r="B6" s="32" t="s">
        <v>37</v>
      </c>
      <c r="C6" s="409" t="str">
        <f>'Alternative No. 0'!D6</f>
        <v>Sub-Basin XXXXX</v>
      </c>
      <c r="D6" s="410"/>
      <c r="E6" s="411"/>
    </row>
    <row r="7" spans="2:5" s="35" customFormat="1" ht="15.6" customHeight="1" thickTop="1" thickBot="1" x14ac:dyDescent="0.3">
      <c r="B7" s="34"/>
      <c r="C7" s="34"/>
      <c r="D7" s="34"/>
      <c r="E7" s="34"/>
    </row>
    <row r="8" spans="2:5" s="33" customFormat="1" ht="19.5" thickBot="1" x14ac:dyDescent="0.35">
      <c r="B8" s="36">
        <f>'Alternative No. 3'!B7</f>
        <v>0</v>
      </c>
      <c r="C8" s="404" t="str">
        <f>'Alternative No. 3'!C7</f>
        <v>XXXXX</v>
      </c>
      <c r="D8" s="405"/>
      <c r="E8" s="406"/>
    </row>
    <row r="9" spans="2:5" s="33" customFormat="1" ht="19.5" thickTop="1" x14ac:dyDescent="0.3">
      <c r="B9" s="37" t="s">
        <v>36</v>
      </c>
      <c r="D9" s="38">
        <f>'Alternative No. 3'!$G$10</f>
        <v>0</v>
      </c>
      <c r="E9" s="39"/>
    </row>
    <row r="10" spans="2:5" s="33" customFormat="1" ht="18.75" x14ac:dyDescent="0.3">
      <c r="B10" s="37" t="s">
        <v>34</v>
      </c>
      <c r="D10" s="38">
        <f>'Alternative No. 3'!$G$11</f>
        <v>0</v>
      </c>
      <c r="E10" s="39"/>
    </row>
    <row r="11" spans="2:5" s="33" customFormat="1" ht="18.75" x14ac:dyDescent="0.3">
      <c r="B11" s="37" t="s">
        <v>33</v>
      </c>
      <c r="D11" s="38">
        <f>'Alternative No. 3'!$G$12</f>
        <v>0</v>
      </c>
      <c r="E11" s="39"/>
    </row>
    <row r="12" spans="2:5" s="33" customFormat="1" ht="18.75" x14ac:dyDescent="0.3">
      <c r="B12" s="37" t="s">
        <v>73</v>
      </c>
      <c r="C12" s="40"/>
      <c r="D12" s="396">
        <f>'Alternative No. 3'!$G$13</f>
        <v>0</v>
      </c>
      <c r="E12" s="41"/>
    </row>
    <row r="13" spans="2:5" s="33" customFormat="1" ht="18.75" x14ac:dyDescent="0.3">
      <c r="B13" s="37" t="s">
        <v>391</v>
      </c>
      <c r="C13" s="42"/>
      <c r="D13" s="397">
        <f>'Alternative No. 3'!$G$14</f>
        <v>0</v>
      </c>
      <c r="E13" s="41"/>
    </row>
    <row r="14" spans="2:5" s="33" customFormat="1" ht="18.75" x14ac:dyDescent="0.3">
      <c r="B14" s="37" t="s">
        <v>74</v>
      </c>
      <c r="C14" s="42"/>
      <c r="D14" s="397">
        <f>'Alternative No. 3'!$G$15</f>
        <v>0</v>
      </c>
      <c r="E14" s="41"/>
    </row>
    <row r="15" spans="2:5" s="33" customFormat="1" ht="19.5" thickBot="1" x14ac:dyDescent="0.35">
      <c r="B15" s="37" t="s">
        <v>75</v>
      </c>
      <c r="C15" s="40"/>
      <c r="D15" s="43" t="e">
        <f>$D$9/($D$12*10^6)</f>
        <v>#DIV/0!</v>
      </c>
      <c r="E15" s="41"/>
    </row>
    <row r="16" spans="2:5" s="33" customFormat="1" ht="19.5" thickBot="1" x14ac:dyDescent="0.35">
      <c r="B16" s="37"/>
      <c r="C16" s="44" t="s">
        <v>76</v>
      </c>
      <c r="D16" s="45" t="s">
        <v>77</v>
      </c>
      <c r="E16" s="46" t="s">
        <v>78</v>
      </c>
    </row>
    <row r="17" spans="2:5" s="33" customFormat="1" ht="20.25" thickTop="1" thickBot="1" x14ac:dyDescent="0.35">
      <c r="B17" s="47" t="s">
        <v>79</v>
      </c>
      <c r="C17" s="48">
        <f>'Alternative No. 3'!$I$25</f>
        <v>0</v>
      </c>
      <c r="D17" s="44">
        <f>'Alternative No. 3'!$H$25</f>
        <v>0</v>
      </c>
      <c r="E17" s="49" t="e">
        <f>D17/C17</f>
        <v>#DIV/0!</v>
      </c>
    </row>
    <row r="18" spans="2:5" s="33" customFormat="1" ht="20.25" thickTop="1" thickBot="1" x14ac:dyDescent="0.35">
      <c r="B18" s="47" t="s">
        <v>80</v>
      </c>
      <c r="C18" s="48">
        <f>'Alternative No. 3'!$I$36</f>
        <v>0</v>
      </c>
      <c r="D18" s="44">
        <f>'Alternative No. 3'!$H$36</f>
        <v>0</v>
      </c>
      <c r="E18" s="49" t="e">
        <f>D18/C18</f>
        <v>#DIV/0!</v>
      </c>
    </row>
    <row r="19" spans="2:5" s="33" customFormat="1" ht="20.25" thickTop="1" thickBot="1" x14ac:dyDescent="0.35">
      <c r="B19" s="47" t="s">
        <v>81</v>
      </c>
      <c r="C19" s="48">
        <f>'Alternative No. 3'!$I$49</f>
        <v>0</v>
      </c>
      <c r="D19" s="44">
        <f>'Alternative No. 3'!$H$49</f>
        <v>0</v>
      </c>
      <c r="E19" s="49" t="e">
        <f>D19/C19</f>
        <v>#DIV/0!</v>
      </c>
    </row>
    <row r="20" spans="2:5" s="33" customFormat="1" ht="6" customHeight="1" thickTop="1" thickBot="1" x14ac:dyDescent="0.35">
      <c r="D20" s="39"/>
      <c r="E20" s="50"/>
    </row>
    <row r="21" spans="2:5" s="33" customFormat="1" ht="19.5" thickBot="1" x14ac:dyDescent="0.35">
      <c r="B21" s="51" t="s">
        <v>82</v>
      </c>
      <c r="C21" s="44">
        <f>SUM(C17:C19)</f>
        <v>0</v>
      </c>
      <c r="D21" s="45">
        <f>SUM(D17:D19)</f>
        <v>0</v>
      </c>
      <c r="E21" s="49" t="e">
        <f>D21/C21</f>
        <v>#DIV/0!</v>
      </c>
    </row>
    <row r="22" spans="2:5" s="33" customFormat="1" ht="20.25" thickTop="1" thickBot="1" x14ac:dyDescent="0.35">
      <c r="D22" s="39"/>
      <c r="E22" s="39"/>
    </row>
    <row r="23" spans="2:5" s="33" customFormat="1" ht="19.5" customHeight="1" thickBot="1" x14ac:dyDescent="0.35">
      <c r="B23" s="36">
        <f>'Alternative No. 4'!B7</f>
        <v>0</v>
      </c>
      <c r="C23" s="404" t="str">
        <f>'Alternative No. 4'!C7</f>
        <v>XXXXX</v>
      </c>
      <c r="D23" s="405"/>
      <c r="E23" s="406"/>
    </row>
    <row r="24" spans="2:5" s="33" customFormat="1" ht="19.5" thickTop="1" x14ac:dyDescent="0.3">
      <c r="B24" s="37" t="s">
        <v>36</v>
      </c>
      <c r="D24" s="38">
        <f>'Alternative No. 4'!$G$10</f>
        <v>0</v>
      </c>
      <c r="E24" s="39"/>
    </row>
    <row r="25" spans="2:5" s="33" customFormat="1" ht="18.75" x14ac:dyDescent="0.3">
      <c r="B25" s="37" t="s">
        <v>34</v>
      </c>
      <c r="D25" s="38">
        <f>'Alternative No. 4'!$G$11</f>
        <v>0</v>
      </c>
      <c r="E25" s="39"/>
    </row>
    <row r="26" spans="2:5" s="33" customFormat="1" ht="18.75" x14ac:dyDescent="0.3">
      <c r="B26" s="37" t="s">
        <v>33</v>
      </c>
      <c r="D26" s="38">
        <f>'Alternative No. 4'!$G$12</f>
        <v>0</v>
      </c>
      <c r="E26" s="39"/>
    </row>
    <row r="27" spans="2:5" s="33" customFormat="1" ht="18.75" x14ac:dyDescent="0.3">
      <c r="B27" s="37" t="s">
        <v>73</v>
      </c>
      <c r="C27" s="40"/>
      <c r="D27" s="395">
        <f>'Alternative No. 4'!$G$13</f>
        <v>0</v>
      </c>
      <c r="E27" s="41"/>
    </row>
    <row r="28" spans="2:5" s="33" customFormat="1" ht="18.75" x14ac:dyDescent="0.3">
      <c r="B28" s="37" t="s">
        <v>391</v>
      </c>
      <c r="C28" s="42"/>
      <c r="D28" s="397">
        <f>'Alternative No. 4'!$G$14</f>
        <v>0</v>
      </c>
      <c r="E28" s="41"/>
    </row>
    <row r="29" spans="2:5" s="33" customFormat="1" ht="18.75" x14ac:dyDescent="0.3">
      <c r="B29" s="37" t="s">
        <v>74</v>
      </c>
      <c r="C29" s="42"/>
      <c r="D29" s="397">
        <f>'Alternative No. 4'!$G$15</f>
        <v>0</v>
      </c>
      <c r="E29" s="41"/>
    </row>
    <row r="30" spans="2:5" s="33" customFormat="1" ht="19.5" thickBot="1" x14ac:dyDescent="0.35">
      <c r="B30" s="37" t="s">
        <v>75</v>
      </c>
      <c r="C30" s="40"/>
      <c r="D30" s="43" t="e">
        <f>$D$24/($D$27*10^6)</f>
        <v>#DIV/0!</v>
      </c>
      <c r="E30" s="41"/>
    </row>
    <row r="31" spans="2:5" s="33" customFormat="1" ht="19.5" thickBot="1" x14ac:dyDescent="0.35">
      <c r="B31" s="37"/>
      <c r="C31" s="44" t="s">
        <v>76</v>
      </c>
      <c r="D31" s="45" t="s">
        <v>77</v>
      </c>
      <c r="E31" s="46" t="s">
        <v>78</v>
      </c>
    </row>
    <row r="32" spans="2:5" s="33" customFormat="1" ht="20.25" thickTop="1" thickBot="1" x14ac:dyDescent="0.35">
      <c r="B32" s="47" t="s">
        <v>79</v>
      </c>
      <c r="C32" s="48">
        <f>'Alternative No. 4'!$I$25</f>
        <v>0</v>
      </c>
      <c r="D32" s="44">
        <f>'Alternative No. 4'!$H$25</f>
        <v>0</v>
      </c>
      <c r="E32" s="49" t="e">
        <f>D32/C32</f>
        <v>#DIV/0!</v>
      </c>
    </row>
    <row r="33" spans="2:5" s="33" customFormat="1" ht="20.25" thickTop="1" thickBot="1" x14ac:dyDescent="0.35">
      <c r="B33" s="47" t="s">
        <v>80</v>
      </c>
      <c r="C33" s="48">
        <f>'Alternative No. 4'!$I$36</f>
        <v>0</v>
      </c>
      <c r="D33" s="44">
        <f>'Alternative No. 4'!$H$36</f>
        <v>0</v>
      </c>
      <c r="E33" s="49" t="e">
        <f>D33/C33</f>
        <v>#DIV/0!</v>
      </c>
    </row>
    <row r="34" spans="2:5" s="33" customFormat="1" ht="20.25" thickTop="1" thickBot="1" x14ac:dyDescent="0.35">
      <c r="B34" s="47" t="s">
        <v>81</v>
      </c>
      <c r="C34" s="48">
        <f>'Alternative No. 4'!$I$49</f>
        <v>0</v>
      </c>
      <c r="D34" s="44">
        <f>'Alternative No. 4'!$H$49</f>
        <v>0</v>
      </c>
      <c r="E34" s="49" t="e">
        <f>D34/C34</f>
        <v>#DIV/0!</v>
      </c>
    </row>
    <row r="35" spans="2:5" s="33" customFormat="1" ht="7.9" customHeight="1" thickTop="1" thickBot="1" x14ac:dyDescent="0.35">
      <c r="D35" s="39"/>
      <c r="E35" s="50"/>
    </row>
    <row r="36" spans="2:5" s="33" customFormat="1" ht="19.5" thickBot="1" x14ac:dyDescent="0.35">
      <c r="B36" s="51" t="s">
        <v>82</v>
      </c>
      <c r="C36" s="44">
        <f>SUM(C32:C34)</f>
        <v>0</v>
      </c>
      <c r="D36" s="45">
        <f>SUM(D32:D34)</f>
        <v>0</v>
      </c>
      <c r="E36" s="49" t="e">
        <f>D36/C36</f>
        <v>#DIV/0!</v>
      </c>
    </row>
    <row r="37" spans="2:5" s="33" customFormat="1" ht="20.25" thickTop="1" thickBot="1" x14ac:dyDescent="0.35">
      <c r="D37" s="39"/>
      <c r="E37" s="39"/>
    </row>
    <row r="38" spans="2:5" s="33" customFormat="1" ht="19.5" customHeight="1" thickBot="1" x14ac:dyDescent="0.35">
      <c r="B38" s="382"/>
      <c r="C38" s="412"/>
      <c r="D38" s="413"/>
      <c r="E38" s="414"/>
    </row>
    <row r="39" spans="2:5" s="33" customFormat="1" ht="19.5" thickTop="1" x14ac:dyDescent="0.3">
      <c r="B39" s="37"/>
      <c r="C39" s="383"/>
      <c r="D39" s="38"/>
      <c r="E39" s="384"/>
    </row>
    <row r="40" spans="2:5" s="33" customFormat="1" ht="18.75" x14ac:dyDescent="0.3">
      <c r="B40" s="37"/>
      <c r="C40" s="383"/>
      <c r="D40" s="38"/>
      <c r="E40" s="384"/>
    </row>
    <row r="41" spans="2:5" s="33" customFormat="1" ht="18.75" x14ac:dyDescent="0.3">
      <c r="B41" s="37"/>
      <c r="C41" s="383"/>
      <c r="D41" s="38"/>
      <c r="E41" s="384"/>
    </row>
    <row r="42" spans="2:5" s="33" customFormat="1" ht="18.75" x14ac:dyDescent="0.3">
      <c r="B42" s="37"/>
      <c r="C42" s="385"/>
      <c r="D42" s="38"/>
      <c r="E42" s="386"/>
    </row>
    <row r="43" spans="2:5" s="33" customFormat="1" ht="18.75" x14ac:dyDescent="0.3">
      <c r="B43" s="37"/>
      <c r="C43" s="387"/>
      <c r="D43" s="38"/>
      <c r="E43" s="386"/>
    </row>
    <row r="44" spans="2:5" s="33" customFormat="1" ht="18.75" x14ac:dyDescent="0.3">
      <c r="B44" s="37"/>
      <c r="C44" s="387"/>
      <c r="D44" s="38"/>
      <c r="E44" s="386"/>
    </row>
    <row r="45" spans="2:5" s="33" customFormat="1" ht="19.5" thickBot="1" x14ac:dyDescent="0.35">
      <c r="B45" s="37"/>
      <c r="C45" s="385"/>
      <c r="D45" s="43"/>
      <c r="E45" s="386"/>
    </row>
    <row r="46" spans="2:5" s="33" customFormat="1" ht="19.5" thickBot="1" x14ac:dyDescent="0.35">
      <c r="B46" s="37"/>
      <c r="C46" s="382"/>
      <c r="D46" s="388"/>
      <c r="E46" s="389"/>
    </row>
    <row r="47" spans="2:5" s="33" customFormat="1" ht="20.25" thickTop="1" thickBot="1" x14ac:dyDescent="0.35">
      <c r="B47" s="390"/>
      <c r="C47" s="391"/>
      <c r="D47" s="382"/>
      <c r="E47" s="392"/>
    </row>
    <row r="48" spans="2:5" s="33" customFormat="1" ht="20.25" thickTop="1" thickBot="1" x14ac:dyDescent="0.35">
      <c r="B48" s="390"/>
      <c r="C48" s="391"/>
      <c r="D48" s="382"/>
      <c r="E48" s="392"/>
    </row>
    <row r="49" spans="2:5" s="33" customFormat="1" ht="20.25" thickTop="1" thickBot="1" x14ac:dyDescent="0.35">
      <c r="B49" s="390"/>
      <c r="C49" s="391"/>
      <c r="D49" s="382"/>
      <c r="E49" s="392"/>
    </row>
    <row r="50" spans="2:5" s="33" customFormat="1" ht="8.25" customHeight="1" thickTop="1" x14ac:dyDescent="0.3">
      <c r="D50" s="39"/>
      <c r="E50" s="50"/>
    </row>
    <row r="51" spans="2:5" s="33" customFormat="1" ht="18.75" x14ac:dyDescent="0.3">
      <c r="B51" s="398"/>
      <c r="C51" s="399"/>
      <c r="D51" s="400"/>
      <c r="E51" s="401"/>
    </row>
    <row r="52" spans="2:5" s="33" customFormat="1" ht="18.75" x14ac:dyDescent="0.3">
      <c r="D52" s="39"/>
      <c r="E52" s="39"/>
    </row>
  </sheetData>
  <mergeCells count="8">
    <mergeCell ref="C23:E23"/>
    <mergeCell ref="C38:E38"/>
    <mergeCell ref="B2:D2"/>
    <mergeCell ref="B3:D3"/>
    <mergeCell ref="B4:D4"/>
    <mergeCell ref="B5:D5"/>
    <mergeCell ref="C6:E6"/>
    <mergeCell ref="C8:E8"/>
  </mergeCells>
  <phoneticPr fontId="57" type="noConversion"/>
  <pageMargins left="0.7" right="0.7" top="0.75" bottom="0.75" header="0.3" footer="0.3"/>
  <pageSetup scale="72" orientation="portrait" horizontalDpi="300" verticalDpi="300" r:id="rId1"/>
  <rowBreaks count="1" manualBreakCount="1">
    <brk id="52" max="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BP80"/>
  <sheetViews>
    <sheetView topLeftCell="A37" zoomScale="60" zoomScaleNormal="60" workbookViewId="0">
      <selection activeCell="B64" sqref="B64"/>
    </sheetView>
  </sheetViews>
  <sheetFormatPr defaultRowHeight="15" x14ac:dyDescent="0.25"/>
  <cols>
    <col min="3" max="4" width="11.5703125" customWidth="1"/>
    <col min="5" max="5" width="13.85546875" customWidth="1"/>
    <col min="6" max="6" width="14" customWidth="1"/>
    <col min="7" max="7" width="11.5703125" customWidth="1"/>
    <col min="8" max="8" width="17" customWidth="1"/>
    <col min="9" max="9" width="9.28515625" customWidth="1"/>
    <col min="10" max="10" width="8.85546875" customWidth="1"/>
    <col min="11" max="11" width="8.5703125" customWidth="1"/>
    <col min="12" max="15" width="10.140625" customWidth="1"/>
    <col min="16" max="16" width="11.140625" customWidth="1"/>
    <col min="17" max="17" width="12" customWidth="1"/>
    <col min="18" max="18" width="10.7109375" customWidth="1"/>
    <col min="19" max="19" width="13.85546875" customWidth="1"/>
    <col min="20" max="22" width="10.140625" customWidth="1"/>
  </cols>
  <sheetData>
    <row r="2" spans="2:41" x14ac:dyDescent="0.25">
      <c r="B2" t="s">
        <v>141</v>
      </c>
      <c r="I2">
        <v>51.72</v>
      </c>
      <c r="J2">
        <v>58.25</v>
      </c>
      <c r="K2">
        <v>55.13</v>
      </c>
      <c r="L2">
        <v>57.68</v>
      </c>
      <c r="M2">
        <v>59.8</v>
      </c>
      <c r="N2">
        <v>47.22</v>
      </c>
      <c r="O2">
        <v>52.01</v>
      </c>
      <c r="P2">
        <v>53.19</v>
      </c>
      <c r="Q2">
        <v>57.53</v>
      </c>
      <c r="R2">
        <v>57.56</v>
      </c>
      <c r="S2">
        <v>47.56</v>
      </c>
      <c r="T2">
        <v>59.77</v>
      </c>
      <c r="U2">
        <v>43.97</v>
      </c>
      <c r="V2">
        <v>50</v>
      </c>
      <c r="W2">
        <v>52.7</v>
      </c>
    </row>
    <row r="3" spans="2:41" ht="15.75" thickBot="1" x14ac:dyDescent="0.3">
      <c r="X3" s="54"/>
      <c r="Y3" s="54"/>
    </row>
    <row r="4" spans="2:41" ht="15.75" thickBot="1" x14ac:dyDescent="0.3">
      <c r="B4" s="55"/>
      <c r="C4" s="56"/>
      <c r="D4" s="56"/>
      <c r="E4" s="56"/>
      <c r="F4" s="56" t="s">
        <v>136</v>
      </c>
      <c r="G4" s="132">
        <v>0</v>
      </c>
      <c r="H4" s="56"/>
      <c r="I4" s="56"/>
      <c r="J4" s="56"/>
      <c r="K4" s="56"/>
      <c r="L4" s="56"/>
      <c r="M4" s="56"/>
      <c r="N4" s="56"/>
      <c r="O4" s="56"/>
      <c r="P4" s="56"/>
      <c r="Q4" s="56"/>
      <c r="R4" s="56"/>
      <c r="S4" s="56"/>
      <c r="T4" s="56"/>
      <c r="U4" s="56"/>
      <c r="V4" s="56"/>
      <c r="W4" s="58"/>
      <c r="X4" s="55"/>
      <c r="Y4" s="58"/>
    </row>
    <row r="5" spans="2:41" ht="110.25" customHeight="1" thickBot="1" x14ac:dyDescent="0.3">
      <c r="B5" s="55"/>
      <c r="C5" s="59" t="s">
        <v>104</v>
      </c>
      <c r="D5" s="59" t="s">
        <v>105</v>
      </c>
      <c r="E5" s="59" t="s">
        <v>106</v>
      </c>
      <c r="F5" s="59" t="s">
        <v>107</v>
      </c>
      <c r="G5" s="60" t="s">
        <v>108</v>
      </c>
      <c r="H5" s="61"/>
      <c r="I5" s="133" t="s">
        <v>109</v>
      </c>
      <c r="J5" s="134" t="s">
        <v>110</v>
      </c>
      <c r="K5" s="134" t="s">
        <v>142</v>
      </c>
      <c r="L5" s="134" t="s">
        <v>112</v>
      </c>
      <c r="M5" s="134" t="s">
        <v>113</v>
      </c>
      <c r="N5" s="134" t="s">
        <v>114</v>
      </c>
      <c r="O5" s="134" t="s">
        <v>115</v>
      </c>
      <c r="P5" s="135" t="s">
        <v>116</v>
      </c>
      <c r="Q5" s="134" t="s">
        <v>117</v>
      </c>
      <c r="R5" s="134" t="s">
        <v>118</v>
      </c>
      <c r="S5" s="135" t="s">
        <v>119</v>
      </c>
      <c r="T5" s="134" t="s">
        <v>120</v>
      </c>
      <c r="U5" s="134" t="s">
        <v>121</v>
      </c>
      <c r="V5" s="136" t="s">
        <v>122</v>
      </c>
      <c r="W5" s="137" t="s">
        <v>123</v>
      </c>
      <c r="X5" s="66" t="s">
        <v>124</v>
      </c>
      <c r="Y5" s="67" t="s">
        <v>125</v>
      </c>
      <c r="Z5" s="118"/>
      <c r="AA5" s="118"/>
      <c r="AB5" s="138"/>
      <c r="AC5" s="138"/>
      <c r="AD5" s="138"/>
      <c r="AE5" s="138"/>
      <c r="AF5" s="138"/>
      <c r="AG5" s="138"/>
      <c r="AH5" s="138"/>
      <c r="AI5" s="138"/>
      <c r="AJ5" s="138"/>
      <c r="AK5" s="138"/>
      <c r="AL5" s="138"/>
      <c r="AM5" s="138"/>
      <c r="AN5" s="138"/>
      <c r="AO5" s="139"/>
    </row>
    <row r="6" spans="2:41" ht="20.25" customHeight="1" thickBot="1" x14ac:dyDescent="0.3">
      <c r="B6" s="55"/>
      <c r="C6" s="69"/>
      <c r="D6" s="70">
        <f>SUM(D8:D22)</f>
        <v>0</v>
      </c>
      <c r="E6" s="70">
        <f>SUM(E8:E22)</f>
        <v>0</v>
      </c>
      <c r="F6" s="69"/>
      <c r="G6" s="71"/>
      <c r="H6" s="72" t="s">
        <v>126</v>
      </c>
      <c r="I6" s="140">
        <f>'Allen Co. Labor Wages'!I14</f>
        <v>48.620999999999995</v>
      </c>
      <c r="J6" s="140">
        <f>'Allen Co. Labor Wages'!I15</f>
        <v>48.620999999999995</v>
      </c>
      <c r="K6" s="140">
        <f>'Allen Co. Labor Wages'!I43</f>
        <v>54.163724999999992</v>
      </c>
      <c r="L6" s="140">
        <f>'Allen Co. Labor Wages'!I17</f>
        <v>59.576999999999998</v>
      </c>
      <c r="M6" s="140">
        <f>'Allen Co. Labor Wages'!I37</f>
        <v>57.789000000000001</v>
      </c>
      <c r="N6" s="140">
        <f>'Allen Co. Labor Wages'!I19</f>
        <v>45.515999999999998</v>
      </c>
      <c r="O6" s="140">
        <f>('Allen Co. Labor Wages'!I20+'Allen Co. Labor Wages'!I21)/2</f>
        <v>49.569000000000003</v>
      </c>
      <c r="P6" s="141">
        <f>'Allen Co. Labor Wages'!I21</f>
        <v>44.298000000000002</v>
      </c>
      <c r="Q6" s="140">
        <f>'Allen Co. Labor Wages'!I46</f>
        <v>58.824150000000003</v>
      </c>
      <c r="R6" s="140">
        <f>'Allen Co. Labor Wages'!I45</f>
        <v>64.648237499999993</v>
      </c>
      <c r="S6" s="141">
        <f>'Allen Co. Labor Wages'!I24</f>
        <v>50.504999999999995</v>
      </c>
      <c r="T6" s="140">
        <f>'Allen Co. Labor Wages'!I25</f>
        <v>61.116</v>
      </c>
      <c r="U6" s="140">
        <f>'Allen Co. Labor Wages'!I26</f>
        <v>44.870999999999995</v>
      </c>
      <c r="V6" s="140">
        <f>'Allen Co. Labor Wages'!C31</f>
        <v>50</v>
      </c>
      <c r="W6" s="142">
        <f>'Allen Co. Labor Wages'!I27</f>
        <v>37.152000000000001</v>
      </c>
      <c r="X6" s="75"/>
      <c r="Y6" s="58"/>
      <c r="Z6" s="118"/>
      <c r="AA6" s="143"/>
      <c r="AB6" s="80"/>
      <c r="AC6" s="80"/>
      <c r="AD6" s="80"/>
      <c r="AE6" s="80"/>
      <c r="AF6" s="80"/>
      <c r="AG6" s="80"/>
      <c r="AH6" s="80"/>
      <c r="AI6" s="80"/>
      <c r="AJ6" s="80"/>
      <c r="AK6" s="80"/>
      <c r="AL6" s="80"/>
      <c r="AM6" s="80"/>
      <c r="AN6" s="80"/>
      <c r="AO6" s="80"/>
    </row>
    <row r="7" spans="2:41" ht="20.25" customHeight="1" thickBot="1" x14ac:dyDescent="0.3">
      <c r="B7" s="91"/>
      <c r="C7" s="92"/>
      <c r="D7" s="144"/>
      <c r="E7" s="144"/>
      <c r="F7" s="92"/>
      <c r="G7" s="145"/>
      <c r="H7" s="72" t="s">
        <v>127</v>
      </c>
      <c r="I7" s="446" t="s">
        <v>128</v>
      </c>
      <c r="J7" s="447"/>
      <c r="K7" s="447"/>
      <c r="L7" s="447"/>
      <c r="M7" s="447"/>
      <c r="N7" s="447"/>
      <c r="O7" s="447"/>
      <c r="P7" s="447"/>
      <c r="Q7" s="447"/>
      <c r="R7" s="447"/>
      <c r="S7" s="447"/>
      <c r="T7" s="447"/>
      <c r="U7" s="447"/>
      <c r="V7" s="447"/>
      <c r="W7" s="448"/>
      <c r="X7" s="80"/>
      <c r="Y7" s="81"/>
      <c r="Z7" s="118"/>
      <c r="AA7" s="143"/>
      <c r="AB7" s="80"/>
      <c r="AC7" s="80"/>
      <c r="AD7" s="80"/>
      <c r="AE7" s="80"/>
      <c r="AF7" s="80"/>
      <c r="AG7" s="80"/>
      <c r="AH7" s="80"/>
      <c r="AI7" s="80"/>
      <c r="AJ7" s="80"/>
      <c r="AK7" s="80"/>
      <c r="AL7" s="80"/>
      <c r="AM7" s="80"/>
      <c r="AN7" s="80"/>
      <c r="AO7" s="80"/>
    </row>
    <row r="8" spans="2:41" ht="15.75" x14ac:dyDescent="0.25">
      <c r="B8" s="91"/>
      <c r="C8" s="92">
        <v>2</v>
      </c>
      <c r="D8" s="93">
        <f t="shared" ref="D8:E22" si="0">$G$4*F8</f>
        <v>0</v>
      </c>
      <c r="E8" s="93">
        <f t="shared" si="0"/>
        <v>0</v>
      </c>
      <c r="F8" s="94">
        <f>AVERAGE(F47,F28,F66)</f>
        <v>5.3894256354010767E-2</v>
      </c>
      <c r="G8" s="94">
        <f>AVERAGE(G47,G28)</f>
        <v>0</v>
      </c>
      <c r="H8" s="85">
        <f>$G$4*F8</f>
        <v>0</v>
      </c>
      <c r="I8" s="146"/>
      <c r="J8" s="146"/>
      <c r="K8" s="146"/>
      <c r="L8" s="146">
        <v>0.4</v>
      </c>
      <c r="M8" s="146"/>
      <c r="N8" s="146">
        <v>0.4</v>
      </c>
      <c r="O8" s="147"/>
      <c r="P8" s="148"/>
      <c r="Q8" s="146"/>
      <c r="R8" s="146"/>
      <c r="S8" s="148"/>
      <c r="T8" s="146">
        <v>0.2</v>
      </c>
      <c r="U8" s="146"/>
      <c r="V8" s="146"/>
      <c r="W8" s="149"/>
      <c r="X8" s="88">
        <f t="shared" ref="X8:X22" si="1">I8*$I$6+J8*$J$6+K8*$K$6+L8*$L$6+M8*$M$6+N8*$N$6+O8*$O$6+P8*$P$6+Q8*$Q$6+R8*$R$6+S8*$S$6+T8*$T$6+U8*$U$6+W8*$W$6+V8*$V$6</f>
        <v>54.260399999999997</v>
      </c>
      <c r="Y8" s="89">
        <f t="shared" ref="Y8:Y22" si="2">H8/X8</f>
        <v>0</v>
      </c>
      <c r="Z8" s="118"/>
      <c r="AA8" s="118"/>
      <c r="AB8" s="150"/>
      <c r="AC8" s="150"/>
      <c r="AD8" s="150"/>
      <c r="AE8" s="150"/>
      <c r="AF8" s="150"/>
      <c r="AG8" s="150"/>
      <c r="AH8" s="147"/>
      <c r="AI8" s="150"/>
      <c r="AJ8" s="150"/>
      <c r="AK8" s="150"/>
      <c r="AL8" s="150"/>
      <c r="AM8" s="150"/>
      <c r="AN8" s="150"/>
      <c r="AO8" s="150"/>
    </row>
    <row r="9" spans="2:41" ht="15.75" x14ac:dyDescent="0.25">
      <c r="B9" s="91"/>
      <c r="C9" s="92">
        <v>3</v>
      </c>
      <c r="D9" s="93">
        <f t="shared" si="0"/>
        <v>0</v>
      </c>
      <c r="E9" s="93">
        <f t="shared" si="0"/>
        <v>0</v>
      </c>
      <c r="F9" s="94">
        <f>AVERAGE(F48,F29,F67)</f>
        <v>8.9690902617566182E-2</v>
      </c>
      <c r="G9" s="94">
        <f t="shared" ref="G9:G22" si="3">AVERAGE(G48,G29)</f>
        <v>0</v>
      </c>
      <c r="H9" s="85">
        <f t="shared" ref="H9:H22" si="4">$G$4*F9</f>
        <v>0</v>
      </c>
      <c r="I9" s="146">
        <v>0.28499999999999998</v>
      </c>
      <c r="J9" s="146"/>
      <c r="K9" s="146"/>
      <c r="L9" s="146">
        <v>0.14199999999999999</v>
      </c>
      <c r="M9" s="146">
        <v>0.14199999999999999</v>
      </c>
      <c r="N9" s="146">
        <v>0.28499999999999998</v>
      </c>
      <c r="O9" s="147">
        <v>0.14199999999999999</v>
      </c>
      <c r="P9" s="148"/>
      <c r="Q9" s="146"/>
      <c r="R9" s="146"/>
      <c r="S9" s="148"/>
      <c r="T9" s="146"/>
      <c r="U9" s="146"/>
      <c r="V9" s="146"/>
      <c r="W9" s="149"/>
      <c r="X9" s="88">
        <f t="shared" si="1"/>
        <v>50.533814999999997</v>
      </c>
      <c r="Y9" s="89">
        <f t="shared" si="2"/>
        <v>0</v>
      </c>
      <c r="Z9" s="118"/>
      <c r="AA9" s="118"/>
      <c r="AB9" s="150"/>
      <c r="AC9" s="150"/>
      <c r="AD9" s="150"/>
      <c r="AE9" s="150"/>
      <c r="AF9" s="150"/>
      <c r="AG9" s="150"/>
      <c r="AH9" s="147"/>
      <c r="AI9" s="150"/>
      <c r="AJ9" s="150"/>
      <c r="AK9" s="150"/>
      <c r="AL9" s="150"/>
      <c r="AM9" s="150"/>
      <c r="AN9" s="150"/>
      <c r="AO9" s="150"/>
    </row>
    <row r="10" spans="2:41" x14ac:dyDescent="0.25">
      <c r="B10" s="91"/>
      <c r="C10" s="92">
        <v>4</v>
      </c>
      <c r="D10" s="93">
        <f t="shared" si="0"/>
        <v>0</v>
      </c>
      <c r="E10" s="93">
        <f t="shared" si="0"/>
        <v>0</v>
      </c>
      <c r="F10" s="94">
        <f t="shared" ref="F10:F21" si="5">AVERAGE(F49,F30,F68)</f>
        <v>1.3835104719594987E-2</v>
      </c>
      <c r="G10" s="94">
        <f t="shared" si="3"/>
        <v>0</v>
      </c>
      <c r="H10" s="85">
        <f t="shared" si="4"/>
        <v>0</v>
      </c>
      <c r="I10" s="146"/>
      <c r="J10" s="146"/>
      <c r="K10" s="146"/>
      <c r="L10" s="146"/>
      <c r="M10" s="146"/>
      <c r="N10" s="146">
        <v>0.4</v>
      </c>
      <c r="O10" s="146">
        <v>0.6</v>
      </c>
      <c r="P10" s="148"/>
      <c r="Q10" s="146"/>
      <c r="R10" s="146"/>
      <c r="S10" s="148"/>
      <c r="T10" s="146"/>
      <c r="U10" s="146"/>
      <c r="V10" s="146"/>
      <c r="W10" s="149"/>
      <c r="X10" s="88">
        <f t="shared" si="1"/>
        <v>47.947800000000001</v>
      </c>
      <c r="Y10" s="89">
        <f t="shared" si="2"/>
        <v>0</v>
      </c>
      <c r="Z10" s="118"/>
      <c r="AA10" s="118"/>
      <c r="AB10" s="150"/>
      <c r="AC10" s="150"/>
      <c r="AD10" s="150"/>
      <c r="AE10" s="150"/>
      <c r="AF10" s="150"/>
      <c r="AG10" s="150"/>
      <c r="AH10" s="150"/>
      <c r="AI10" s="150"/>
      <c r="AJ10" s="150"/>
      <c r="AK10" s="150"/>
      <c r="AL10" s="150"/>
      <c r="AM10" s="150"/>
      <c r="AN10" s="150"/>
      <c r="AO10" s="150"/>
    </row>
    <row r="11" spans="2:41" ht="15.75" x14ac:dyDescent="0.25">
      <c r="B11" s="91"/>
      <c r="C11" s="92">
        <v>5</v>
      </c>
      <c r="D11" s="93">
        <f t="shared" si="0"/>
        <v>0</v>
      </c>
      <c r="E11" s="93">
        <f t="shared" si="0"/>
        <v>0</v>
      </c>
      <c r="F11" s="94">
        <f t="shared" si="5"/>
        <v>3.8101006728851971E-3</v>
      </c>
      <c r="G11" s="94">
        <f t="shared" si="3"/>
        <v>0</v>
      </c>
      <c r="H11" s="85">
        <f t="shared" si="4"/>
        <v>0</v>
      </c>
      <c r="I11" s="146">
        <v>1</v>
      </c>
      <c r="J11" s="146"/>
      <c r="K11" s="146"/>
      <c r="L11" s="146"/>
      <c r="M11" s="146"/>
      <c r="N11" s="146"/>
      <c r="O11" s="147"/>
      <c r="P11" s="148"/>
      <c r="Q11" s="146"/>
      <c r="R11" s="146"/>
      <c r="S11" s="148"/>
      <c r="T11" s="146"/>
      <c r="U11" s="146"/>
      <c r="V11" s="146"/>
      <c r="W11" s="149"/>
      <c r="X11" s="88">
        <f t="shared" si="1"/>
        <v>48.620999999999995</v>
      </c>
      <c r="Y11" s="89">
        <f t="shared" si="2"/>
        <v>0</v>
      </c>
      <c r="Z11" s="118"/>
      <c r="AA11" s="118"/>
      <c r="AB11" s="150"/>
      <c r="AC11" s="150"/>
      <c r="AD11" s="150"/>
      <c r="AE11" s="150"/>
      <c r="AF11" s="150"/>
      <c r="AG11" s="150"/>
      <c r="AH11" s="147"/>
      <c r="AI11" s="150"/>
      <c r="AJ11" s="150"/>
      <c r="AK11" s="150"/>
      <c r="AL11" s="150"/>
      <c r="AM11" s="150"/>
      <c r="AN11" s="150"/>
      <c r="AO11" s="150"/>
    </row>
    <row r="12" spans="2:41" ht="15.75" x14ac:dyDescent="0.25">
      <c r="B12" s="91"/>
      <c r="C12" s="92">
        <v>6</v>
      </c>
      <c r="D12" s="93">
        <f t="shared" si="0"/>
        <v>0</v>
      </c>
      <c r="E12" s="93">
        <f t="shared" si="0"/>
        <v>0</v>
      </c>
      <c r="F12" s="94">
        <f t="shared" si="5"/>
        <v>2.5506408852120099E-3</v>
      </c>
      <c r="G12" s="94">
        <f t="shared" si="3"/>
        <v>0</v>
      </c>
      <c r="H12" s="85">
        <f t="shared" si="4"/>
        <v>0</v>
      </c>
      <c r="I12" s="146">
        <v>1</v>
      </c>
      <c r="J12" s="146"/>
      <c r="K12" s="146"/>
      <c r="L12" s="146"/>
      <c r="M12" s="146"/>
      <c r="N12" s="146"/>
      <c r="O12" s="147"/>
      <c r="P12" s="148"/>
      <c r="Q12" s="146"/>
      <c r="R12" s="146"/>
      <c r="S12" s="148"/>
      <c r="T12" s="146"/>
      <c r="U12" s="146"/>
      <c r="V12" s="146"/>
      <c r="W12" s="149"/>
      <c r="X12" s="88">
        <f t="shared" si="1"/>
        <v>48.620999999999995</v>
      </c>
      <c r="Y12" s="89">
        <f t="shared" si="2"/>
        <v>0</v>
      </c>
      <c r="Z12" s="118"/>
      <c r="AA12" s="118"/>
      <c r="AB12" s="150"/>
      <c r="AC12" s="150"/>
      <c r="AD12" s="150"/>
      <c r="AE12" s="150"/>
      <c r="AF12" s="150"/>
      <c r="AG12" s="150"/>
      <c r="AH12" s="147"/>
      <c r="AI12" s="150"/>
      <c r="AJ12" s="150"/>
      <c r="AK12" s="150"/>
      <c r="AL12" s="150"/>
      <c r="AM12" s="150"/>
      <c r="AN12" s="150"/>
      <c r="AO12" s="150"/>
    </row>
    <row r="13" spans="2:41" ht="15.75" x14ac:dyDescent="0.25">
      <c r="B13" s="91"/>
      <c r="C13" s="92">
        <v>7</v>
      </c>
      <c r="D13" s="93">
        <f t="shared" si="0"/>
        <v>0</v>
      </c>
      <c r="E13" s="93">
        <f t="shared" si="0"/>
        <v>0</v>
      </c>
      <c r="F13" s="94">
        <f t="shared" si="5"/>
        <v>5.4192090495130902E-3</v>
      </c>
      <c r="G13" s="94">
        <f t="shared" si="3"/>
        <v>0</v>
      </c>
      <c r="H13" s="85">
        <f t="shared" si="4"/>
        <v>0</v>
      </c>
      <c r="I13" s="146">
        <v>0.5</v>
      </c>
      <c r="J13" s="146"/>
      <c r="K13" s="146"/>
      <c r="L13" s="146"/>
      <c r="M13" s="146"/>
      <c r="N13" s="146"/>
      <c r="O13" s="147"/>
      <c r="P13" s="148"/>
      <c r="Q13" s="146"/>
      <c r="R13" s="146"/>
      <c r="S13" s="148"/>
      <c r="T13" s="146"/>
      <c r="U13" s="146"/>
      <c r="V13" s="146"/>
      <c r="W13" s="149">
        <v>0.5</v>
      </c>
      <c r="X13" s="88">
        <f t="shared" si="1"/>
        <v>42.886499999999998</v>
      </c>
      <c r="Y13" s="89">
        <f t="shared" si="2"/>
        <v>0</v>
      </c>
      <c r="Z13" s="118"/>
      <c r="AA13" s="118"/>
      <c r="AB13" s="150"/>
      <c r="AC13" s="150"/>
      <c r="AD13" s="150"/>
      <c r="AE13" s="150"/>
      <c r="AF13" s="150"/>
      <c r="AG13" s="150"/>
      <c r="AH13" s="147"/>
      <c r="AI13" s="150"/>
      <c r="AJ13" s="150"/>
      <c r="AK13" s="150"/>
      <c r="AL13" s="150"/>
      <c r="AM13" s="150"/>
      <c r="AN13" s="150"/>
      <c r="AO13" s="150"/>
    </row>
    <row r="14" spans="2:41" ht="15.75" x14ac:dyDescent="0.25">
      <c r="B14" s="91"/>
      <c r="C14" s="92">
        <v>8</v>
      </c>
      <c r="D14" s="93">
        <f t="shared" si="0"/>
        <v>0</v>
      </c>
      <c r="E14" s="93">
        <f t="shared" si="0"/>
        <v>0</v>
      </c>
      <c r="F14" s="94">
        <f t="shared" si="5"/>
        <v>8.4362689802227166E-4</v>
      </c>
      <c r="G14" s="94">
        <f t="shared" si="3"/>
        <v>0</v>
      </c>
      <c r="H14" s="85">
        <f t="shared" si="4"/>
        <v>0</v>
      </c>
      <c r="I14" s="146">
        <v>1</v>
      </c>
      <c r="J14" s="146"/>
      <c r="K14" s="146"/>
      <c r="L14" s="146"/>
      <c r="M14" s="146"/>
      <c r="N14" s="146"/>
      <c r="O14" s="147"/>
      <c r="P14" s="148"/>
      <c r="Q14" s="146"/>
      <c r="R14" s="146"/>
      <c r="S14" s="148"/>
      <c r="T14" s="146"/>
      <c r="U14" s="146"/>
      <c r="V14" s="146"/>
      <c r="W14" s="149"/>
      <c r="X14" s="88">
        <f t="shared" si="1"/>
        <v>48.620999999999995</v>
      </c>
      <c r="Y14" s="89">
        <f t="shared" si="2"/>
        <v>0</v>
      </c>
      <c r="Z14" s="118"/>
      <c r="AA14" s="118"/>
      <c r="AB14" s="150"/>
      <c r="AC14" s="150"/>
      <c r="AD14" s="150"/>
      <c r="AE14" s="150"/>
      <c r="AF14" s="150"/>
      <c r="AG14" s="150"/>
      <c r="AH14" s="147"/>
      <c r="AI14" s="150"/>
      <c r="AJ14" s="150"/>
      <c r="AK14" s="150"/>
      <c r="AL14" s="150"/>
      <c r="AM14" s="150"/>
      <c r="AN14" s="150"/>
      <c r="AO14" s="150"/>
    </row>
    <row r="15" spans="2:41" ht="15.75" x14ac:dyDescent="0.25">
      <c r="B15" s="91"/>
      <c r="C15" s="92">
        <v>9</v>
      </c>
      <c r="D15" s="93">
        <f t="shared" si="0"/>
        <v>0</v>
      </c>
      <c r="E15" s="93">
        <f t="shared" si="0"/>
        <v>0</v>
      </c>
      <c r="F15" s="94">
        <f t="shared" si="5"/>
        <v>2.5794791882186056E-3</v>
      </c>
      <c r="G15" s="94">
        <f t="shared" si="3"/>
        <v>0</v>
      </c>
      <c r="H15" s="85">
        <f t="shared" si="4"/>
        <v>0</v>
      </c>
      <c r="I15" s="146"/>
      <c r="J15" s="146"/>
      <c r="K15" s="146"/>
      <c r="L15" s="146"/>
      <c r="M15" s="146"/>
      <c r="N15" s="146"/>
      <c r="O15" s="147"/>
      <c r="P15" s="148"/>
      <c r="Q15" s="146"/>
      <c r="R15" s="146"/>
      <c r="S15" s="148"/>
      <c r="T15" s="146"/>
      <c r="U15" s="146">
        <v>1</v>
      </c>
      <c r="V15" s="146"/>
      <c r="W15" s="149"/>
      <c r="X15" s="88">
        <f t="shared" si="1"/>
        <v>44.870999999999995</v>
      </c>
      <c r="Y15" s="89">
        <f t="shared" si="2"/>
        <v>0</v>
      </c>
      <c r="Z15" s="118"/>
      <c r="AA15" s="118"/>
      <c r="AB15" s="150"/>
      <c r="AC15" s="150"/>
      <c r="AD15" s="150"/>
      <c r="AE15" s="150"/>
      <c r="AF15" s="150"/>
      <c r="AG15" s="150"/>
      <c r="AH15" s="147"/>
      <c r="AI15" s="150"/>
      <c r="AJ15" s="150"/>
      <c r="AK15" s="150"/>
      <c r="AL15" s="150"/>
      <c r="AM15" s="150"/>
      <c r="AN15" s="150"/>
      <c r="AO15" s="150"/>
    </row>
    <row r="16" spans="2:41" ht="15.75" x14ac:dyDescent="0.25">
      <c r="B16" s="91"/>
      <c r="C16" s="92">
        <v>10</v>
      </c>
      <c r="D16" s="93">
        <f t="shared" si="0"/>
        <v>0</v>
      </c>
      <c r="E16" s="93">
        <f t="shared" si="0"/>
        <v>0</v>
      </c>
      <c r="F16" s="94">
        <f t="shared" si="5"/>
        <v>2.0617584829890593E-4</v>
      </c>
      <c r="G16" s="94">
        <f t="shared" si="3"/>
        <v>0</v>
      </c>
      <c r="H16" s="85">
        <f t="shared" si="4"/>
        <v>0</v>
      </c>
      <c r="I16" s="146">
        <v>0.5</v>
      </c>
      <c r="J16" s="146"/>
      <c r="K16" s="146"/>
      <c r="L16" s="146"/>
      <c r="M16" s="146"/>
      <c r="N16" s="146"/>
      <c r="O16" s="147"/>
      <c r="P16" s="148"/>
      <c r="Q16" s="146">
        <v>0.5</v>
      </c>
      <c r="R16" s="146"/>
      <c r="S16" s="148"/>
      <c r="T16" s="146"/>
      <c r="U16" s="146"/>
      <c r="V16" s="146"/>
      <c r="W16" s="149"/>
      <c r="X16" s="88">
        <f t="shared" si="1"/>
        <v>53.722574999999999</v>
      </c>
      <c r="Y16" s="89">
        <f t="shared" si="2"/>
        <v>0</v>
      </c>
      <c r="Z16" s="118"/>
      <c r="AA16" s="118"/>
      <c r="AB16" s="150"/>
      <c r="AC16" s="150"/>
      <c r="AD16" s="150"/>
      <c r="AE16" s="150"/>
      <c r="AF16" s="150"/>
      <c r="AG16" s="150"/>
      <c r="AH16" s="147"/>
      <c r="AI16" s="150"/>
      <c r="AJ16" s="150"/>
      <c r="AK16" s="150"/>
      <c r="AL16" s="150"/>
      <c r="AM16" s="150"/>
      <c r="AN16" s="150"/>
      <c r="AO16" s="150"/>
    </row>
    <row r="17" spans="2:41" ht="15.75" x14ac:dyDescent="0.25">
      <c r="B17" s="91"/>
      <c r="C17" s="92">
        <v>11</v>
      </c>
      <c r="D17" s="93">
        <f t="shared" si="0"/>
        <v>0</v>
      </c>
      <c r="E17" s="93">
        <f t="shared" si="0"/>
        <v>0</v>
      </c>
      <c r="F17" s="94">
        <f t="shared" si="5"/>
        <v>1.7664406197061343E-2</v>
      </c>
      <c r="G17" s="94">
        <f t="shared" si="3"/>
        <v>0</v>
      </c>
      <c r="H17" s="85">
        <f t="shared" si="4"/>
        <v>0</v>
      </c>
      <c r="I17" s="146"/>
      <c r="J17" s="146">
        <v>0.75</v>
      </c>
      <c r="K17" s="146"/>
      <c r="L17" s="146">
        <v>0.25</v>
      </c>
      <c r="M17" s="146"/>
      <c r="N17" s="146"/>
      <c r="O17" s="147"/>
      <c r="P17" s="148"/>
      <c r="Q17" s="146"/>
      <c r="R17" s="146"/>
      <c r="S17" s="148"/>
      <c r="T17" s="146"/>
      <c r="U17" s="146"/>
      <c r="V17" s="146"/>
      <c r="W17" s="149"/>
      <c r="X17" s="88">
        <f t="shared" si="1"/>
        <v>51.36</v>
      </c>
      <c r="Y17" s="89">
        <f t="shared" si="2"/>
        <v>0</v>
      </c>
      <c r="Z17" s="118"/>
      <c r="AA17" s="118"/>
      <c r="AB17" s="150"/>
      <c r="AC17" s="150"/>
      <c r="AD17" s="150"/>
      <c r="AE17" s="150"/>
      <c r="AF17" s="150"/>
      <c r="AG17" s="150"/>
      <c r="AH17" s="147"/>
      <c r="AI17" s="150"/>
      <c r="AJ17" s="150"/>
      <c r="AK17" s="150"/>
      <c r="AL17" s="150"/>
      <c r="AM17" s="150"/>
      <c r="AN17" s="150"/>
      <c r="AO17" s="150"/>
    </row>
    <row r="18" spans="2:41" ht="15.75" x14ac:dyDescent="0.25">
      <c r="B18" s="91"/>
      <c r="C18" s="92">
        <v>12</v>
      </c>
      <c r="D18" s="93">
        <f t="shared" si="0"/>
        <v>0</v>
      </c>
      <c r="E18" s="93">
        <f t="shared" si="0"/>
        <v>0</v>
      </c>
      <c r="F18" s="94">
        <f t="shared" si="5"/>
        <v>2.5713188511298428E-4</v>
      </c>
      <c r="G18" s="94">
        <f t="shared" si="3"/>
        <v>0</v>
      </c>
      <c r="H18" s="85">
        <f t="shared" si="4"/>
        <v>0</v>
      </c>
      <c r="I18" s="146"/>
      <c r="J18" s="146"/>
      <c r="K18" s="146"/>
      <c r="L18" s="146"/>
      <c r="M18" s="146"/>
      <c r="N18" s="146">
        <v>1</v>
      </c>
      <c r="O18" s="147"/>
      <c r="P18" s="148"/>
      <c r="Q18" s="146"/>
      <c r="R18" s="146"/>
      <c r="S18" s="148"/>
      <c r="T18" s="146"/>
      <c r="U18" s="146"/>
      <c r="V18" s="146"/>
      <c r="W18" s="149"/>
      <c r="X18" s="88">
        <f t="shared" si="1"/>
        <v>45.515999999999998</v>
      </c>
      <c r="Y18" s="89">
        <f t="shared" si="2"/>
        <v>0</v>
      </c>
      <c r="Z18" s="118"/>
      <c r="AA18" s="118"/>
      <c r="AB18" s="150"/>
      <c r="AC18" s="150"/>
      <c r="AD18" s="150"/>
      <c r="AE18" s="150"/>
      <c r="AF18" s="150"/>
      <c r="AG18" s="150"/>
      <c r="AH18" s="147"/>
      <c r="AI18" s="150"/>
      <c r="AJ18" s="150"/>
      <c r="AK18" s="150"/>
      <c r="AL18" s="150"/>
      <c r="AM18" s="150"/>
      <c r="AN18" s="150"/>
      <c r="AO18" s="150"/>
    </row>
    <row r="19" spans="2:41" ht="15.75" x14ac:dyDescent="0.25">
      <c r="B19" s="91"/>
      <c r="C19" s="92">
        <v>13</v>
      </c>
      <c r="D19" s="93">
        <f t="shared" si="0"/>
        <v>0</v>
      </c>
      <c r="E19" s="93">
        <f t="shared" si="0"/>
        <v>0</v>
      </c>
      <c r="F19" s="94">
        <f t="shared" si="5"/>
        <v>5.1227732361587694E-3</v>
      </c>
      <c r="G19" s="94">
        <f t="shared" si="3"/>
        <v>0</v>
      </c>
      <c r="H19" s="85">
        <f t="shared" si="4"/>
        <v>0</v>
      </c>
      <c r="I19" s="146"/>
      <c r="J19" s="146"/>
      <c r="K19" s="146">
        <v>1</v>
      </c>
      <c r="L19" s="146"/>
      <c r="M19" s="146"/>
      <c r="N19" s="146"/>
      <c r="O19" s="147"/>
      <c r="P19" s="148"/>
      <c r="Q19" s="146"/>
      <c r="R19" s="146"/>
      <c r="S19" s="148"/>
      <c r="T19" s="146"/>
      <c r="U19" s="146"/>
      <c r="V19" s="146"/>
      <c r="W19" s="149"/>
      <c r="X19" s="88">
        <f t="shared" si="1"/>
        <v>54.163724999999992</v>
      </c>
      <c r="Y19" s="89">
        <f t="shared" si="2"/>
        <v>0</v>
      </c>
      <c r="Z19" s="118"/>
      <c r="AA19" s="118"/>
      <c r="AB19" s="150"/>
      <c r="AC19" s="150"/>
      <c r="AD19" s="150"/>
      <c r="AE19" s="150"/>
      <c r="AF19" s="150"/>
      <c r="AG19" s="150"/>
      <c r="AH19" s="147"/>
      <c r="AI19" s="150"/>
      <c r="AJ19" s="150"/>
      <c r="AK19" s="150"/>
      <c r="AL19" s="150"/>
      <c r="AM19" s="150"/>
      <c r="AN19" s="150"/>
      <c r="AO19" s="150"/>
    </row>
    <row r="20" spans="2:41" ht="15.75" x14ac:dyDescent="0.25">
      <c r="B20" s="91"/>
      <c r="C20" s="92">
        <v>14</v>
      </c>
      <c r="D20" s="93">
        <f t="shared" si="0"/>
        <v>0</v>
      </c>
      <c r="E20" s="93">
        <f t="shared" si="0"/>
        <v>0</v>
      </c>
      <c r="F20" s="94">
        <f t="shared" si="5"/>
        <v>2.1250831871226679E-4</v>
      </c>
      <c r="G20" s="94">
        <f t="shared" si="3"/>
        <v>0</v>
      </c>
      <c r="H20" s="85">
        <f t="shared" si="4"/>
        <v>0</v>
      </c>
      <c r="I20" s="146"/>
      <c r="J20" s="146">
        <v>0.8</v>
      </c>
      <c r="K20" s="146"/>
      <c r="L20" s="146"/>
      <c r="M20" s="146"/>
      <c r="N20" s="146">
        <v>0.2</v>
      </c>
      <c r="O20" s="147"/>
      <c r="P20" s="148"/>
      <c r="Q20" s="146"/>
      <c r="R20" s="146"/>
      <c r="S20" s="148"/>
      <c r="T20" s="146"/>
      <c r="U20" s="146"/>
      <c r="V20" s="146"/>
      <c r="W20" s="149"/>
      <c r="X20" s="88">
        <f t="shared" si="1"/>
        <v>48</v>
      </c>
      <c r="Y20" s="89">
        <f t="shared" si="2"/>
        <v>0</v>
      </c>
      <c r="Z20" s="118"/>
      <c r="AA20" s="118"/>
      <c r="AB20" s="150"/>
      <c r="AC20" s="150"/>
      <c r="AD20" s="150"/>
      <c r="AE20" s="150"/>
      <c r="AF20" s="150"/>
      <c r="AG20" s="150"/>
      <c r="AH20" s="147"/>
      <c r="AI20" s="150"/>
      <c r="AJ20" s="150"/>
      <c r="AK20" s="150"/>
      <c r="AL20" s="150"/>
      <c r="AM20" s="150"/>
      <c r="AN20" s="150"/>
      <c r="AO20" s="150"/>
    </row>
    <row r="21" spans="2:41" x14ac:dyDescent="0.25">
      <c r="B21" s="91"/>
      <c r="C21" s="92">
        <v>15</v>
      </c>
      <c r="D21" s="93">
        <f t="shared" si="0"/>
        <v>0</v>
      </c>
      <c r="E21" s="93">
        <f t="shared" si="0"/>
        <v>0</v>
      </c>
      <c r="F21" s="94">
        <f t="shared" si="5"/>
        <v>4.9956210343646647E-2</v>
      </c>
      <c r="G21" s="94">
        <f t="shared" si="3"/>
        <v>0</v>
      </c>
      <c r="H21" s="85">
        <f t="shared" si="4"/>
        <v>0</v>
      </c>
      <c r="I21" s="146"/>
      <c r="J21" s="146"/>
      <c r="K21" s="146"/>
      <c r="L21" s="146">
        <v>0.1</v>
      </c>
      <c r="M21" s="146"/>
      <c r="N21" s="146">
        <v>0.1</v>
      </c>
      <c r="O21" s="146"/>
      <c r="P21" s="148"/>
      <c r="Q21" s="146">
        <v>0.31</v>
      </c>
      <c r="R21" s="146">
        <v>0.31</v>
      </c>
      <c r="S21" s="148"/>
      <c r="T21" s="146">
        <v>0.18</v>
      </c>
      <c r="U21" s="146"/>
      <c r="V21" s="146"/>
      <c r="W21" s="149"/>
      <c r="X21" s="88">
        <f t="shared" si="1"/>
        <v>59.786620124999999</v>
      </c>
      <c r="Y21" s="89">
        <f t="shared" si="2"/>
        <v>0</v>
      </c>
      <c r="Z21" s="118"/>
      <c r="AA21" s="118"/>
      <c r="AB21" s="150"/>
      <c r="AC21" s="150"/>
      <c r="AD21" s="150"/>
      <c r="AE21" s="150"/>
      <c r="AF21" s="150"/>
      <c r="AG21" s="150"/>
      <c r="AH21" s="150"/>
      <c r="AI21" s="150"/>
      <c r="AJ21" s="150"/>
      <c r="AK21" s="150"/>
      <c r="AL21" s="150"/>
      <c r="AM21" s="150"/>
      <c r="AN21" s="150"/>
      <c r="AO21" s="150"/>
    </row>
    <row r="22" spans="2:41" ht="15.75" thickBot="1" x14ac:dyDescent="0.3">
      <c r="B22" s="96"/>
      <c r="C22" s="97">
        <v>16</v>
      </c>
      <c r="D22" s="98">
        <f t="shared" si="0"/>
        <v>0</v>
      </c>
      <c r="E22" s="98">
        <f t="shared" si="0"/>
        <v>0</v>
      </c>
      <c r="F22" s="99">
        <f>AVERAGE(F61,F42,F80)</f>
        <v>4.7132776642669884E-2</v>
      </c>
      <c r="G22" s="94">
        <f t="shared" si="3"/>
        <v>0</v>
      </c>
      <c r="H22" s="101">
        <f t="shared" si="4"/>
        <v>0</v>
      </c>
      <c r="I22" s="146"/>
      <c r="J22" s="146"/>
      <c r="K22" s="146">
        <v>1</v>
      </c>
      <c r="L22" s="146"/>
      <c r="M22" s="146"/>
      <c r="N22" s="146"/>
      <c r="O22" s="146"/>
      <c r="P22" s="148"/>
      <c r="Q22" s="146"/>
      <c r="R22" s="146"/>
      <c r="S22" s="148"/>
      <c r="T22" s="146"/>
      <c r="U22" s="146"/>
      <c r="V22" s="146"/>
      <c r="W22" s="149"/>
      <c r="X22" s="88">
        <f t="shared" si="1"/>
        <v>54.163724999999992</v>
      </c>
      <c r="Y22" s="105">
        <f t="shared" si="2"/>
        <v>0</v>
      </c>
      <c r="Z22" s="118"/>
      <c r="AA22" s="118"/>
      <c r="AB22" s="150"/>
      <c r="AC22" s="150"/>
      <c r="AD22" s="150"/>
      <c r="AE22" s="150"/>
      <c r="AF22" s="150"/>
      <c r="AG22" s="150"/>
      <c r="AH22" s="150"/>
      <c r="AI22" s="150"/>
      <c r="AJ22" s="150"/>
      <c r="AK22" s="150"/>
      <c r="AL22" s="150"/>
      <c r="AM22" s="150"/>
      <c r="AN22" s="150"/>
      <c r="AO22" s="150"/>
    </row>
    <row r="23" spans="2:41" x14ac:dyDescent="0.25">
      <c r="E23" s="106" t="s">
        <v>129</v>
      </c>
      <c r="F23" s="107">
        <f>SUM(F8:F22)</f>
        <v>0.29317530285668392</v>
      </c>
      <c r="G23" s="83">
        <f>SUM(G8:G22)</f>
        <v>0</v>
      </c>
      <c r="H23" s="108" t="s">
        <v>130</v>
      </c>
      <c r="I23" s="109">
        <f t="shared" ref="I23:W23" si="6">I24*I6</f>
        <v>0</v>
      </c>
      <c r="J23" s="109">
        <f t="shared" si="6"/>
        <v>0</v>
      </c>
      <c r="K23" s="109">
        <f t="shared" si="6"/>
        <v>0</v>
      </c>
      <c r="L23" s="109">
        <f t="shared" si="6"/>
        <v>0</v>
      </c>
      <c r="M23" s="109">
        <f t="shared" si="6"/>
        <v>0</v>
      </c>
      <c r="N23" s="109">
        <f t="shared" si="6"/>
        <v>0</v>
      </c>
      <c r="O23" s="109">
        <f t="shared" si="6"/>
        <v>0</v>
      </c>
      <c r="P23" s="109">
        <f t="shared" si="6"/>
        <v>0</v>
      </c>
      <c r="Q23" s="109">
        <f t="shared" si="6"/>
        <v>0</v>
      </c>
      <c r="R23" s="109">
        <f t="shared" si="6"/>
        <v>0</v>
      </c>
      <c r="S23" s="109">
        <f t="shared" si="6"/>
        <v>0</v>
      </c>
      <c r="T23" s="109">
        <f t="shared" si="6"/>
        <v>0</v>
      </c>
      <c r="U23" s="109">
        <f t="shared" si="6"/>
        <v>0</v>
      </c>
      <c r="V23" s="110"/>
      <c r="W23" s="111">
        <f t="shared" si="6"/>
        <v>0</v>
      </c>
      <c r="X23" s="151"/>
      <c r="Y23" s="113"/>
      <c r="Z23" s="118"/>
      <c r="AA23" s="118"/>
      <c r="AB23" s="118"/>
      <c r="AC23" s="118"/>
      <c r="AD23" s="118"/>
      <c r="AE23" s="118"/>
      <c r="AF23" s="118"/>
      <c r="AG23" s="118"/>
      <c r="AH23" s="118"/>
      <c r="AI23" s="118"/>
      <c r="AJ23" s="118"/>
      <c r="AK23" s="118"/>
      <c r="AL23" s="118"/>
      <c r="AM23" s="118"/>
      <c r="AN23" s="118"/>
      <c r="AO23" s="118"/>
    </row>
    <row r="24" spans="2:41" ht="15.75" thickBot="1" x14ac:dyDescent="0.3">
      <c r="F24" s="114"/>
      <c r="G24" s="114"/>
      <c r="H24" s="108" t="s">
        <v>131</v>
      </c>
      <c r="I24" s="115">
        <f>I8*$Y$8+I9*$Y$9+I10*$Y$10+I11*$Y$11+I12*$Y$12+I13*$Y$13+I14*$Y$14+I15*$Y$15+I16*$Y$16+I17*$Y$17+I18*$Y$18+I19*$Y$19+I20*$Y$20+I21*$Y$21+I22*$Y$22</f>
        <v>0</v>
      </c>
      <c r="J24" s="115">
        <f t="shared" ref="J24:W24" si="7">J8*$Y$8+J9*$Y$9+J10*$Y$10+J11*$Y$11+J12*$Y$12+J13*$Y$13+J14*$Y$14+J15*$Y$15+J16*$Y$16+J17*$Y$17+J18*$Y$18+J19*$Y$19+J20*$Y$20+J21*$Y$21+J22*$Y$22</f>
        <v>0</v>
      </c>
      <c r="K24" s="115">
        <f t="shared" si="7"/>
        <v>0</v>
      </c>
      <c r="L24" s="115">
        <f t="shared" si="7"/>
        <v>0</v>
      </c>
      <c r="M24" s="115">
        <f t="shared" si="7"/>
        <v>0</v>
      </c>
      <c r="N24" s="115">
        <f t="shared" si="7"/>
        <v>0</v>
      </c>
      <c r="O24" s="115">
        <f t="shared" si="7"/>
        <v>0</v>
      </c>
      <c r="P24" s="115">
        <f t="shared" si="7"/>
        <v>0</v>
      </c>
      <c r="Q24" s="115">
        <f t="shared" si="7"/>
        <v>0</v>
      </c>
      <c r="R24" s="115">
        <f t="shared" si="7"/>
        <v>0</v>
      </c>
      <c r="S24" s="115">
        <f t="shared" si="7"/>
        <v>0</v>
      </c>
      <c r="T24" s="115">
        <f t="shared" si="7"/>
        <v>0</v>
      </c>
      <c r="U24" s="115">
        <f t="shared" si="7"/>
        <v>0</v>
      </c>
      <c r="V24" s="116"/>
      <c r="W24" s="117">
        <f t="shared" si="7"/>
        <v>0</v>
      </c>
      <c r="X24" s="121"/>
      <c r="Y24" s="68"/>
      <c r="Z24" s="68"/>
      <c r="AA24" s="68"/>
      <c r="AB24" s="68"/>
      <c r="AC24" s="68"/>
      <c r="AD24" s="68"/>
    </row>
    <row r="25" spans="2:41" ht="15.75" thickBot="1" x14ac:dyDescent="0.3">
      <c r="B25" t="s">
        <v>137</v>
      </c>
      <c r="H25" s="68"/>
      <c r="I25" s="90"/>
      <c r="J25" s="90"/>
      <c r="K25" s="90"/>
      <c r="L25" s="90"/>
      <c r="M25" s="90"/>
      <c r="N25" s="90"/>
      <c r="O25" s="90"/>
      <c r="P25" s="90"/>
      <c r="Q25" s="90"/>
      <c r="R25" s="90"/>
      <c r="S25" s="90"/>
      <c r="T25" s="90"/>
      <c r="U25" s="90"/>
      <c r="V25" s="90"/>
      <c r="W25" s="90"/>
      <c r="X25" s="68"/>
      <c r="Y25" s="68"/>
      <c r="Z25" s="68"/>
      <c r="AA25" s="68"/>
      <c r="AB25" s="68"/>
    </row>
    <row r="26" spans="2:41" ht="15.75" thickBot="1" x14ac:dyDescent="0.3">
      <c r="B26" s="152"/>
      <c r="C26" s="153"/>
      <c r="D26" s="153" t="s">
        <v>136</v>
      </c>
      <c r="E26" s="153"/>
      <c r="F26" s="154">
        <v>33724170</v>
      </c>
      <c r="G26" s="155"/>
      <c r="H26" s="122"/>
      <c r="I26" s="122"/>
      <c r="J26" s="122"/>
      <c r="K26" s="122"/>
      <c r="L26" s="122"/>
      <c r="M26" s="122"/>
      <c r="N26" s="122"/>
      <c r="O26" s="122"/>
      <c r="P26" s="122"/>
      <c r="Q26" s="122"/>
      <c r="R26" s="122"/>
      <c r="S26" s="122"/>
      <c r="T26" s="122"/>
      <c r="U26" s="122"/>
      <c r="V26" s="122"/>
      <c r="W26" s="68"/>
      <c r="X26" s="68"/>
      <c r="Y26" s="68"/>
      <c r="Z26" s="68"/>
      <c r="AA26" s="68"/>
    </row>
    <row r="27" spans="2:41" ht="15.75" x14ac:dyDescent="0.25">
      <c r="B27" s="156"/>
      <c r="C27" s="122" t="s">
        <v>104</v>
      </c>
      <c r="D27" s="122" t="s">
        <v>105</v>
      </c>
      <c r="E27" s="122" t="s">
        <v>138</v>
      </c>
      <c r="F27" s="122" t="s">
        <v>107</v>
      </c>
      <c r="G27" s="157" t="s">
        <v>108</v>
      </c>
      <c r="H27" s="122"/>
      <c r="I27" s="126"/>
      <c r="J27" s="126"/>
      <c r="K27" s="126"/>
      <c r="L27" s="126"/>
      <c r="M27" s="126"/>
      <c r="N27" s="126"/>
      <c r="O27" s="126"/>
      <c r="P27" s="126"/>
      <c r="Q27" s="126"/>
      <c r="R27" s="126"/>
      <c r="S27" s="126"/>
      <c r="T27" s="126"/>
      <c r="U27" s="126"/>
      <c r="V27" s="126"/>
      <c r="W27" s="68"/>
      <c r="Y27" s="68"/>
    </row>
    <row r="28" spans="2:41" ht="15.75" x14ac:dyDescent="0.25">
      <c r="B28" s="156"/>
      <c r="C28" s="122">
        <v>2</v>
      </c>
      <c r="D28" s="123">
        <v>2278500</v>
      </c>
      <c r="E28" s="123"/>
      <c r="F28" s="129">
        <f>D28/$F$26</f>
        <v>6.7562819188730222E-2</v>
      </c>
      <c r="G28" s="158">
        <f>E28/$F$26</f>
        <v>0</v>
      </c>
      <c r="H28" s="122"/>
      <c r="I28" s="122"/>
      <c r="J28" s="122"/>
      <c r="K28" s="122"/>
      <c r="L28" s="122"/>
      <c r="M28" s="122"/>
      <c r="N28" s="122"/>
      <c r="O28" s="127"/>
      <c r="P28" s="122"/>
      <c r="Q28" s="122"/>
      <c r="R28" s="122"/>
      <c r="S28" s="122"/>
      <c r="T28" s="122"/>
      <c r="U28" s="122"/>
      <c r="V28" s="122"/>
      <c r="W28" s="68"/>
      <c r="Y28" s="68"/>
    </row>
    <row r="29" spans="2:41" ht="15.75" x14ac:dyDescent="0.25">
      <c r="B29" s="156"/>
      <c r="C29" s="122">
        <v>3</v>
      </c>
      <c r="D29" s="123">
        <v>3132000</v>
      </c>
      <c r="E29" s="123"/>
      <c r="F29" s="129">
        <f t="shared" ref="F29:G42" si="8">D29/$F$26</f>
        <v>9.2871077331184132E-2</v>
      </c>
      <c r="G29" s="158">
        <f t="shared" si="8"/>
        <v>0</v>
      </c>
      <c r="H29" s="122"/>
      <c r="I29" s="122"/>
      <c r="J29" s="122"/>
      <c r="K29" s="122"/>
      <c r="L29" s="122"/>
      <c r="M29" s="122"/>
      <c r="N29" s="122"/>
      <c r="O29" s="127"/>
      <c r="P29" s="122"/>
      <c r="Q29" s="122"/>
      <c r="R29" s="122"/>
      <c r="S29" s="122"/>
      <c r="T29" s="122"/>
      <c r="U29" s="122"/>
      <c r="V29" s="122"/>
      <c r="W29" s="68"/>
      <c r="Y29" s="68"/>
    </row>
    <row r="30" spans="2:41" ht="15.75" x14ac:dyDescent="0.25">
      <c r="B30" s="156"/>
      <c r="C30" s="122">
        <v>4</v>
      </c>
      <c r="D30" s="123">
        <v>309000</v>
      </c>
      <c r="E30" s="123"/>
      <c r="F30" s="129">
        <f t="shared" si="8"/>
        <v>9.1625679742451775E-3</v>
      </c>
      <c r="G30" s="158">
        <f t="shared" si="8"/>
        <v>0</v>
      </c>
      <c r="H30" s="122"/>
      <c r="I30" s="122"/>
      <c r="J30" s="122"/>
      <c r="K30" s="122"/>
      <c r="L30" s="122"/>
      <c r="M30" s="122"/>
      <c r="N30" s="122"/>
      <c r="O30" s="127"/>
      <c r="P30" s="122"/>
      <c r="Q30" s="122"/>
      <c r="R30" s="122"/>
      <c r="S30" s="122"/>
      <c r="T30" s="122"/>
      <c r="U30" s="122"/>
      <c r="V30" s="122"/>
      <c r="W30" s="68"/>
      <c r="Y30" s="68"/>
    </row>
    <row r="31" spans="2:41" ht="15.75" x14ac:dyDescent="0.25">
      <c r="B31" s="156"/>
      <c r="C31" s="122">
        <v>5</v>
      </c>
      <c r="D31" s="123">
        <v>107000</v>
      </c>
      <c r="E31" s="123"/>
      <c r="F31" s="129">
        <f t="shared" si="8"/>
        <v>3.1727986189133786E-3</v>
      </c>
      <c r="G31" s="158">
        <f t="shared" si="8"/>
        <v>0</v>
      </c>
      <c r="H31" s="122"/>
      <c r="I31" s="122"/>
      <c r="J31" s="122"/>
      <c r="K31" s="122"/>
      <c r="L31" s="122"/>
      <c r="M31" s="122"/>
      <c r="N31" s="122"/>
      <c r="O31" s="127"/>
      <c r="P31" s="122"/>
      <c r="Q31" s="122"/>
      <c r="R31" s="122"/>
      <c r="S31" s="122"/>
      <c r="T31" s="122"/>
      <c r="U31" s="122"/>
      <c r="V31" s="122"/>
      <c r="W31" s="68"/>
      <c r="Y31" s="68"/>
    </row>
    <row r="32" spans="2:41" ht="15.75" x14ac:dyDescent="0.25">
      <c r="B32" s="156"/>
      <c r="C32" s="122">
        <v>6</v>
      </c>
      <c r="D32" s="123">
        <v>19000</v>
      </c>
      <c r="E32" s="123"/>
      <c r="F32" s="129">
        <f t="shared" si="8"/>
        <v>5.633941472836841E-4</v>
      </c>
      <c r="G32" s="158">
        <f t="shared" si="8"/>
        <v>0</v>
      </c>
      <c r="H32" s="122"/>
      <c r="I32" s="122"/>
      <c r="J32" s="122"/>
      <c r="K32" s="122"/>
      <c r="L32" s="122"/>
      <c r="M32" s="122"/>
      <c r="N32" s="122"/>
      <c r="O32" s="127"/>
      <c r="P32" s="122"/>
      <c r="Q32" s="122"/>
      <c r="R32" s="122"/>
      <c r="S32" s="122"/>
      <c r="T32" s="122"/>
      <c r="U32" s="122"/>
      <c r="V32" s="122"/>
      <c r="W32" s="68"/>
      <c r="Y32" s="68"/>
    </row>
    <row r="33" spans="2:25" ht="15.75" x14ac:dyDescent="0.25">
      <c r="B33" s="156"/>
      <c r="C33" s="122">
        <v>7</v>
      </c>
      <c r="D33" s="123">
        <v>325000</v>
      </c>
      <c r="E33" s="123"/>
      <c r="F33" s="129">
        <f t="shared" si="8"/>
        <v>9.6370051509051223E-3</v>
      </c>
      <c r="G33" s="158">
        <f t="shared" si="8"/>
        <v>0</v>
      </c>
      <c r="H33" s="122"/>
      <c r="I33" s="122"/>
      <c r="J33" s="122"/>
      <c r="K33" s="122"/>
      <c r="L33" s="122"/>
      <c r="M33" s="122"/>
      <c r="N33" s="122"/>
      <c r="O33" s="127"/>
      <c r="P33" s="122"/>
      <c r="Q33" s="122"/>
      <c r="R33" s="122"/>
      <c r="S33" s="122"/>
      <c r="T33" s="122"/>
      <c r="U33" s="122"/>
      <c r="V33" s="122"/>
      <c r="W33" s="68"/>
      <c r="Y33" s="68"/>
    </row>
    <row r="34" spans="2:25" ht="15.75" x14ac:dyDescent="0.25">
      <c r="B34" s="156"/>
      <c r="C34" s="122">
        <v>8</v>
      </c>
      <c r="D34" s="123">
        <v>24000</v>
      </c>
      <c r="E34" s="123"/>
      <c r="F34" s="129">
        <f t="shared" si="8"/>
        <v>7.1165576498991674E-4</v>
      </c>
      <c r="G34" s="158">
        <f t="shared" si="8"/>
        <v>0</v>
      </c>
      <c r="H34" s="122"/>
      <c r="I34" s="122"/>
      <c r="J34" s="122"/>
      <c r="K34" s="122"/>
      <c r="L34" s="122"/>
      <c r="M34" s="122"/>
      <c r="N34" s="122"/>
      <c r="O34" s="127"/>
      <c r="P34" s="122"/>
      <c r="Q34" s="122"/>
      <c r="R34" s="122"/>
      <c r="S34" s="122"/>
      <c r="T34" s="122"/>
      <c r="U34" s="122"/>
      <c r="V34" s="122"/>
      <c r="W34" s="68"/>
      <c r="Y34" s="68"/>
    </row>
    <row r="35" spans="2:25" ht="15.75" x14ac:dyDescent="0.25">
      <c r="B35" s="156"/>
      <c r="C35" s="122">
        <v>9</v>
      </c>
      <c r="D35" s="123">
        <v>114000</v>
      </c>
      <c r="E35" s="123"/>
      <c r="F35" s="129">
        <f t="shared" si="8"/>
        <v>3.3803648837021044E-3</v>
      </c>
      <c r="G35" s="158">
        <f t="shared" si="8"/>
        <v>0</v>
      </c>
      <c r="H35" s="122"/>
      <c r="I35" s="122"/>
      <c r="J35" s="122"/>
      <c r="K35" s="122"/>
      <c r="L35" s="122"/>
      <c r="M35" s="122"/>
      <c r="N35" s="122"/>
      <c r="O35" s="127"/>
      <c r="P35" s="122"/>
      <c r="Q35" s="122"/>
      <c r="R35" s="122"/>
      <c r="S35" s="122"/>
      <c r="T35" s="122"/>
      <c r="U35" s="122"/>
      <c r="V35" s="122"/>
      <c r="W35" s="68"/>
      <c r="Y35" s="68"/>
    </row>
    <row r="36" spans="2:25" ht="15.75" x14ac:dyDescent="0.25">
      <c r="B36" s="156"/>
      <c r="C36" s="122">
        <v>10</v>
      </c>
      <c r="D36" s="123">
        <v>2500</v>
      </c>
      <c r="E36" s="123"/>
      <c r="F36" s="129">
        <f t="shared" si="8"/>
        <v>7.4130808853116331E-5</v>
      </c>
      <c r="G36" s="158">
        <f t="shared" si="8"/>
        <v>0</v>
      </c>
      <c r="H36" s="122"/>
      <c r="I36" s="122"/>
      <c r="J36" s="122"/>
      <c r="K36" s="122"/>
      <c r="L36" s="122"/>
      <c r="M36" s="122"/>
      <c r="N36" s="122"/>
      <c r="O36" s="127"/>
      <c r="P36" s="122"/>
      <c r="Q36" s="122"/>
      <c r="R36" s="122"/>
      <c r="S36" s="122"/>
      <c r="T36" s="122"/>
      <c r="U36" s="122"/>
      <c r="V36" s="122"/>
      <c r="W36" s="68"/>
      <c r="Y36" s="68"/>
    </row>
    <row r="37" spans="2:25" ht="15.75" x14ac:dyDescent="0.25">
      <c r="B37" s="156"/>
      <c r="C37" s="122">
        <v>11</v>
      </c>
      <c r="D37" s="123">
        <v>719820</v>
      </c>
      <c r="E37" s="123"/>
      <c r="F37" s="129">
        <f t="shared" si="8"/>
        <v>2.1344335531460076E-2</v>
      </c>
      <c r="G37" s="158">
        <f t="shared" si="8"/>
        <v>0</v>
      </c>
      <c r="H37" s="122"/>
      <c r="I37" s="122"/>
      <c r="J37" s="122"/>
      <c r="K37" s="122"/>
      <c r="L37" s="122"/>
      <c r="M37" s="122"/>
      <c r="N37" s="122"/>
      <c r="O37" s="127"/>
      <c r="P37" s="122"/>
      <c r="Q37" s="122"/>
      <c r="R37" s="122"/>
      <c r="S37" s="122"/>
      <c r="T37" s="122"/>
      <c r="U37" s="122"/>
      <c r="V37" s="122"/>
      <c r="W37" s="68"/>
      <c r="Y37" s="68"/>
    </row>
    <row r="38" spans="2:25" ht="15.75" x14ac:dyDescent="0.25">
      <c r="B38" s="156"/>
      <c r="C38" s="122">
        <v>12</v>
      </c>
      <c r="D38" s="123">
        <v>0</v>
      </c>
      <c r="E38" s="123"/>
      <c r="F38" s="129">
        <f t="shared" si="8"/>
        <v>0</v>
      </c>
      <c r="G38" s="158">
        <f t="shared" si="8"/>
        <v>0</v>
      </c>
      <c r="H38" s="122"/>
      <c r="I38" s="122"/>
      <c r="J38" s="122"/>
      <c r="K38" s="122"/>
      <c r="L38" s="122"/>
      <c r="M38" s="122"/>
      <c r="N38" s="122"/>
      <c r="O38" s="127"/>
      <c r="P38" s="122"/>
      <c r="Q38" s="122"/>
      <c r="R38" s="122"/>
      <c r="S38" s="122"/>
      <c r="T38" s="122"/>
      <c r="U38" s="122"/>
      <c r="V38" s="122"/>
      <c r="W38" s="68"/>
    </row>
    <row r="39" spans="2:25" ht="15.75" x14ac:dyDescent="0.25">
      <c r="B39" s="156"/>
      <c r="C39" s="122">
        <v>13</v>
      </c>
      <c r="D39" s="123">
        <v>182000</v>
      </c>
      <c r="E39" s="123"/>
      <c r="F39" s="129">
        <f t="shared" si="8"/>
        <v>5.3967228845068684E-3</v>
      </c>
      <c r="G39" s="158">
        <f t="shared" si="8"/>
        <v>0</v>
      </c>
      <c r="H39" s="122"/>
      <c r="I39" s="122"/>
      <c r="J39" s="122"/>
      <c r="K39" s="122"/>
      <c r="L39" s="122"/>
      <c r="M39" s="122"/>
      <c r="N39" s="122"/>
      <c r="O39" s="127"/>
      <c r="P39" s="122"/>
      <c r="Q39" s="122"/>
      <c r="R39" s="122"/>
      <c r="S39" s="122"/>
      <c r="T39" s="122"/>
      <c r="U39" s="122"/>
      <c r="V39" s="122"/>
      <c r="W39" s="68"/>
    </row>
    <row r="40" spans="2:25" ht="15.75" x14ac:dyDescent="0.25">
      <c r="B40" s="156"/>
      <c r="C40" s="122">
        <v>14</v>
      </c>
      <c r="D40" s="123">
        <v>21500</v>
      </c>
      <c r="E40" s="123"/>
      <c r="F40" s="129">
        <f t="shared" si="8"/>
        <v>6.3752495613680037E-4</v>
      </c>
      <c r="G40" s="158">
        <f t="shared" si="8"/>
        <v>0</v>
      </c>
      <c r="H40" s="122"/>
      <c r="I40" s="122"/>
      <c r="J40" s="122"/>
      <c r="K40" s="122"/>
      <c r="L40" s="122"/>
      <c r="M40" s="122"/>
      <c r="N40" s="122"/>
      <c r="O40" s="127"/>
      <c r="P40" s="122"/>
      <c r="Q40" s="122"/>
      <c r="R40" s="122"/>
      <c r="S40" s="122"/>
      <c r="T40" s="122"/>
      <c r="U40" s="122"/>
      <c r="V40" s="122"/>
      <c r="W40" s="68"/>
    </row>
    <row r="41" spans="2:25" x14ac:dyDescent="0.25">
      <c r="B41" s="156"/>
      <c r="C41" s="122">
        <v>15</v>
      </c>
      <c r="D41" s="123">
        <v>1529000</v>
      </c>
      <c r="E41" s="123"/>
      <c r="F41" s="129">
        <f t="shared" si="8"/>
        <v>4.5338402694565946E-2</v>
      </c>
      <c r="G41" s="158">
        <f t="shared" si="8"/>
        <v>0</v>
      </c>
      <c r="H41" s="122"/>
      <c r="I41" s="122"/>
      <c r="J41" s="122"/>
      <c r="K41" s="122"/>
      <c r="L41" s="122"/>
      <c r="M41" s="122"/>
      <c r="N41" s="122"/>
      <c r="O41" s="122"/>
      <c r="P41" s="122"/>
      <c r="Q41" s="122"/>
      <c r="R41" s="122"/>
      <c r="S41" s="122"/>
      <c r="T41" s="122"/>
      <c r="U41" s="122"/>
      <c r="V41" s="122"/>
      <c r="W41" s="68"/>
    </row>
    <row r="42" spans="2:25" ht="15.75" thickBot="1" x14ac:dyDescent="0.3">
      <c r="B42" s="159"/>
      <c r="C42" s="160">
        <v>16</v>
      </c>
      <c r="D42" s="161">
        <v>1269600</v>
      </c>
      <c r="E42" s="161"/>
      <c r="F42" s="162">
        <f t="shared" si="8"/>
        <v>3.7646589967966597E-2</v>
      </c>
      <c r="G42" s="163">
        <f t="shared" si="8"/>
        <v>0</v>
      </c>
      <c r="H42" s="122"/>
      <c r="I42" s="122"/>
      <c r="J42" s="122"/>
      <c r="K42" s="122"/>
      <c r="L42" s="122"/>
      <c r="M42" s="122"/>
      <c r="N42" s="122"/>
      <c r="O42" s="122"/>
      <c r="P42" s="122"/>
      <c r="Q42" s="122"/>
      <c r="R42" s="122"/>
      <c r="S42" s="122"/>
      <c r="T42" s="122"/>
      <c r="U42" s="122"/>
      <c r="V42" s="122"/>
      <c r="W42" s="68"/>
    </row>
    <row r="43" spans="2:25" x14ac:dyDescent="0.25">
      <c r="B43" s="164"/>
      <c r="C43" s="164"/>
      <c r="D43" s="166"/>
      <c r="E43" s="164"/>
      <c r="F43" s="129"/>
      <c r="G43" s="164"/>
      <c r="H43" s="122"/>
      <c r="I43" s="122"/>
      <c r="J43" s="122"/>
      <c r="K43" s="122"/>
      <c r="L43" s="122"/>
      <c r="M43" s="122"/>
      <c r="N43" s="122"/>
      <c r="O43" s="122"/>
      <c r="P43" s="122"/>
      <c r="Q43" s="122"/>
      <c r="R43" s="122"/>
      <c r="S43" s="122"/>
      <c r="T43" s="122"/>
      <c r="U43" s="122"/>
      <c r="V43" s="122"/>
      <c r="W43" s="68"/>
    </row>
    <row r="44" spans="2:25" ht="15.75" thickBot="1" x14ac:dyDescent="0.3">
      <c r="B44" s="164"/>
      <c r="C44" s="164"/>
      <c r="D44" s="164"/>
      <c r="E44" s="164"/>
      <c r="F44" s="164"/>
      <c r="G44" s="164"/>
      <c r="H44" s="122"/>
      <c r="I44" s="122"/>
      <c r="J44" s="122"/>
      <c r="K44" s="122"/>
      <c r="L44" s="122"/>
      <c r="M44" s="122"/>
      <c r="N44" s="122"/>
      <c r="O44" s="122"/>
      <c r="P44" s="122"/>
      <c r="Q44" s="122"/>
      <c r="R44" s="122"/>
      <c r="S44" s="122"/>
      <c r="T44" s="122"/>
      <c r="U44" s="122"/>
      <c r="V44" s="122"/>
      <c r="W44" s="68"/>
    </row>
    <row r="45" spans="2:25" ht="15.75" thickBot="1" x14ac:dyDescent="0.3">
      <c r="B45" s="152"/>
      <c r="C45" s="153"/>
      <c r="D45" s="153" t="s">
        <v>136</v>
      </c>
      <c r="E45" s="153"/>
      <c r="F45" s="154">
        <v>15385640</v>
      </c>
      <c r="G45" s="155"/>
      <c r="H45" s="122"/>
      <c r="I45" s="122"/>
      <c r="J45" s="122"/>
      <c r="K45" s="122"/>
      <c r="L45" s="122"/>
      <c r="M45" s="122"/>
      <c r="N45" s="122"/>
      <c r="O45" s="122"/>
      <c r="P45" s="122"/>
      <c r="Q45" s="122"/>
      <c r="R45" s="122"/>
      <c r="S45" s="122"/>
      <c r="T45" s="122"/>
      <c r="U45" s="122"/>
      <c r="V45" s="122"/>
      <c r="W45" s="68"/>
    </row>
    <row r="46" spans="2:25" ht="15.75" x14ac:dyDescent="0.25">
      <c r="B46" s="156"/>
      <c r="C46" s="130" t="s">
        <v>104</v>
      </c>
      <c r="D46" s="130" t="s">
        <v>105</v>
      </c>
      <c r="E46" s="130" t="s">
        <v>138</v>
      </c>
      <c r="F46" s="130" t="s">
        <v>107</v>
      </c>
      <c r="G46" s="165" t="s">
        <v>108</v>
      </c>
      <c r="H46" s="122"/>
      <c r="I46" s="126"/>
      <c r="J46" s="126"/>
      <c r="K46" s="126"/>
      <c r="L46" s="126"/>
      <c r="M46" s="126"/>
      <c r="N46" s="126"/>
      <c r="O46" s="126"/>
      <c r="P46" s="126"/>
      <c r="Q46" s="126"/>
      <c r="R46" s="126"/>
      <c r="S46" s="126"/>
      <c r="T46" s="126"/>
      <c r="U46" s="126"/>
      <c r="V46" s="126"/>
      <c r="W46" s="68"/>
    </row>
    <row r="47" spans="2:25" ht="15.75" x14ac:dyDescent="0.25">
      <c r="B47" s="156"/>
      <c r="C47" s="122">
        <v>2</v>
      </c>
      <c r="D47" s="123">
        <v>655031</v>
      </c>
      <c r="E47" s="123"/>
      <c r="F47" s="129">
        <f>D47/$F$45</f>
        <v>4.257417955964133E-2</v>
      </c>
      <c r="G47" s="158">
        <f>E47/$F$45</f>
        <v>0</v>
      </c>
      <c r="H47" s="122"/>
      <c r="I47" s="122"/>
      <c r="J47" s="122"/>
      <c r="K47" s="122"/>
      <c r="L47" s="122"/>
      <c r="M47" s="122"/>
      <c r="N47" s="122"/>
      <c r="O47" s="127"/>
      <c r="P47" s="122"/>
      <c r="Q47" s="122"/>
      <c r="R47" s="122"/>
      <c r="S47" s="122"/>
      <c r="T47" s="122"/>
      <c r="U47" s="122"/>
      <c r="V47" s="122"/>
      <c r="W47" s="68"/>
    </row>
    <row r="48" spans="2:25" ht="15.75" x14ac:dyDescent="0.25">
      <c r="B48" s="156"/>
      <c r="C48" s="122">
        <v>3</v>
      </c>
      <c r="D48" s="123">
        <v>728732</v>
      </c>
      <c r="E48" s="123"/>
      <c r="F48" s="129">
        <f t="shared" ref="F48:G61" si="9">D48/$F$45</f>
        <v>4.7364425529259749E-2</v>
      </c>
      <c r="G48" s="158">
        <f t="shared" si="9"/>
        <v>0</v>
      </c>
      <c r="H48" s="122"/>
      <c r="I48" s="122"/>
      <c r="J48" s="122"/>
      <c r="K48" s="122"/>
      <c r="L48" s="122"/>
      <c r="M48" s="122"/>
      <c r="N48" s="122"/>
      <c r="O48" s="127"/>
      <c r="P48" s="122"/>
      <c r="Q48" s="122"/>
      <c r="R48" s="122"/>
      <c r="S48" s="122"/>
      <c r="T48" s="122"/>
      <c r="U48" s="122"/>
      <c r="V48" s="122"/>
      <c r="W48" s="68"/>
    </row>
    <row r="49" spans="2:68" ht="15.75" x14ac:dyDescent="0.25">
      <c r="B49" s="156"/>
      <c r="C49" s="122">
        <v>4</v>
      </c>
      <c r="D49" s="123">
        <v>236557</v>
      </c>
      <c r="E49" s="123"/>
      <c r="F49" s="129">
        <f t="shared" si="9"/>
        <v>1.5375181012944538E-2</v>
      </c>
      <c r="G49" s="158">
        <f t="shared" si="9"/>
        <v>0</v>
      </c>
      <c r="H49" s="122"/>
      <c r="I49" s="122"/>
      <c r="J49" s="122"/>
      <c r="K49" s="122"/>
      <c r="L49" s="122"/>
      <c r="M49" s="122"/>
      <c r="N49" s="122"/>
      <c r="O49" s="127"/>
      <c r="P49" s="122"/>
      <c r="Q49" s="122"/>
      <c r="R49" s="122"/>
      <c r="S49" s="122"/>
      <c r="T49" s="122"/>
      <c r="U49" s="122"/>
      <c r="V49" s="122"/>
      <c r="W49" s="68"/>
    </row>
    <row r="50" spans="2:68" ht="15.75" x14ac:dyDescent="0.25">
      <c r="B50" s="156"/>
      <c r="C50" s="122">
        <v>5</v>
      </c>
      <c r="D50" s="123">
        <v>44060</v>
      </c>
      <c r="E50" s="123"/>
      <c r="F50" s="129">
        <f t="shared" si="9"/>
        <v>2.8637092769621545E-3</v>
      </c>
      <c r="G50" s="158">
        <f t="shared" si="9"/>
        <v>0</v>
      </c>
      <c r="H50" s="122"/>
      <c r="I50" s="122"/>
      <c r="J50" s="122"/>
      <c r="K50" s="122"/>
      <c r="L50" s="122"/>
      <c r="M50" s="122"/>
      <c r="N50" s="122"/>
      <c r="O50" s="127"/>
      <c r="P50" s="122"/>
      <c r="Q50" s="122"/>
      <c r="R50" s="122"/>
      <c r="S50" s="122"/>
      <c r="T50" s="122"/>
      <c r="U50" s="122"/>
      <c r="V50" s="122"/>
      <c r="W50" s="68"/>
    </row>
    <row r="51" spans="2:68" ht="15.75" x14ac:dyDescent="0.25">
      <c r="B51" s="156"/>
      <c r="C51" s="122">
        <v>6</v>
      </c>
      <c r="D51" s="123">
        <v>4973</v>
      </c>
      <c r="E51" s="123"/>
      <c r="F51" s="129">
        <f t="shared" si="9"/>
        <v>3.2322347331667712E-4</v>
      </c>
      <c r="G51" s="158">
        <f t="shared" si="9"/>
        <v>0</v>
      </c>
      <c r="H51" s="122"/>
      <c r="I51" s="122"/>
      <c r="J51" s="122"/>
      <c r="K51" s="122"/>
      <c r="L51" s="122"/>
      <c r="M51" s="122"/>
      <c r="N51" s="122"/>
      <c r="O51" s="127"/>
      <c r="P51" s="122"/>
      <c r="Q51" s="122"/>
      <c r="R51" s="122"/>
      <c r="S51" s="122"/>
      <c r="T51" s="122"/>
      <c r="U51" s="122"/>
      <c r="V51" s="122"/>
      <c r="W51" s="68"/>
    </row>
    <row r="52" spans="2:68" ht="15.75" x14ac:dyDescent="0.25">
      <c r="B52" s="156"/>
      <c r="C52" s="122">
        <v>7</v>
      </c>
      <c r="D52" s="123">
        <v>73167</v>
      </c>
      <c r="E52" s="123"/>
      <c r="F52" s="129">
        <f t="shared" si="9"/>
        <v>4.7555382811504754E-3</v>
      </c>
      <c r="G52" s="158">
        <f t="shared" si="9"/>
        <v>0</v>
      </c>
      <c r="H52" s="122"/>
      <c r="I52" s="122"/>
      <c r="J52" s="122"/>
      <c r="K52" s="122"/>
      <c r="L52" s="122"/>
      <c r="M52" s="122"/>
      <c r="N52" s="122"/>
      <c r="O52" s="127"/>
      <c r="P52" s="122"/>
      <c r="Q52" s="122"/>
      <c r="R52" s="122"/>
      <c r="S52" s="122"/>
      <c r="T52" s="122"/>
      <c r="U52" s="122"/>
      <c r="V52" s="122"/>
      <c r="W52" s="68"/>
    </row>
    <row r="53" spans="2:68" ht="15.75" x14ac:dyDescent="0.25">
      <c r="B53" s="156"/>
      <c r="C53" s="122">
        <v>8</v>
      </c>
      <c r="D53" s="123">
        <v>14992</v>
      </c>
      <c r="E53" s="123"/>
      <c r="F53" s="129">
        <f t="shared" si="9"/>
        <v>9.7441510395407664E-4</v>
      </c>
      <c r="G53" s="158">
        <f t="shared" si="9"/>
        <v>0</v>
      </c>
      <c r="H53" s="122"/>
      <c r="I53" s="122"/>
      <c r="J53" s="122"/>
      <c r="K53" s="122"/>
      <c r="L53" s="122"/>
      <c r="M53" s="122"/>
      <c r="N53" s="122"/>
      <c r="O53" s="127"/>
      <c r="P53" s="122"/>
      <c r="Q53" s="122"/>
      <c r="R53" s="122"/>
      <c r="S53" s="122"/>
      <c r="T53" s="122"/>
      <c r="U53" s="122"/>
      <c r="V53" s="122"/>
      <c r="W53" s="68"/>
    </row>
    <row r="54" spans="2:68" ht="15.75" x14ac:dyDescent="0.25">
      <c r="B54" s="156"/>
      <c r="C54" s="122">
        <v>9</v>
      </c>
      <c r="D54" s="123">
        <v>29189</v>
      </c>
      <c r="E54" s="123"/>
      <c r="F54" s="129">
        <f t="shared" si="9"/>
        <v>1.897158649233961E-3</v>
      </c>
      <c r="G54" s="158">
        <f t="shared" si="9"/>
        <v>0</v>
      </c>
      <c r="H54" s="122"/>
      <c r="I54" s="122"/>
      <c r="J54" s="122"/>
      <c r="K54" s="122"/>
      <c r="L54" s="122"/>
      <c r="M54" s="122"/>
      <c r="N54" s="122"/>
      <c r="O54" s="127"/>
      <c r="P54" s="122"/>
      <c r="Q54" s="122"/>
      <c r="R54" s="122"/>
      <c r="S54" s="122"/>
      <c r="T54" s="122"/>
      <c r="U54" s="122"/>
      <c r="V54" s="122"/>
      <c r="W54" s="68"/>
    </row>
    <row r="55" spans="2:68" ht="15.75" x14ac:dyDescent="0.25">
      <c r="B55" s="156"/>
      <c r="C55" s="122">
        <v>10</v>
      </c>
      <c r="D55" s="123">
        <v>3728</v>
      </c>
      <c r="E55" s="123"/>
      <c r="F55" s="129">
        <f t="shared" si="9"/>
        <v>2.4230386256275332E-4</v>
      </c>
      <c r="G55" s="158">
        <f t="shared" si="9"/>
        <v>0</v>
      </c>
      <c r="H55" s="122"/>
      <c r="I55" s="122"/>
      <c r="J55" s="122"/>
      <c r="K55" s="122"/>
      <c r="L55" s="122"/>
      <c r="M55" s="122"/>
      <c r="N55" s="122"/>
      <c r="O55" s="127"/>
      <c r="P55" s="122"/>
      <c r="Q55" s="122"/>
      <c r="R55" s="122"/>
      <c r="S55" s="122"/>
      <c r="T55" s="122"/>
      <c r="U55" s="122"/>
      <c r="V55" s="122"/>
      <c r="W55" s="68"/>
    </row>
    <row r="56" spans="2:68" ht="15.75" x14ac:dyDescent="0.25">
      <c r="B56" s="156"/>
      <c r="C56" s="122">
        <v>11</v>
      </c>
      <c r="D56" s="123">
        <v>138407</v>
      </c>
      <c r="E56" s="123"/>
      <c r="F56" s="129">
        <f t="shared" si="9"/>
        <v>8.9958558759986578E-3</v>
      </c>
      <c r="G56" s="158">
        <f t="shared" si="9"/>
        <v>0</v>
      </c>
      <c r="H56" s="122"/>
      <c r="I56" s="122"/>
      <c r="J56" s="122"/>
      <c r="K56" s="122"/>
      <c r="L56" s="122"/>
      <c r="M56" s="122"/>
      <c r="N56" s="122"/>
      <c r="O56" s="127"/>
      <c r="P56" s="122"/>
      <c r="Q56" s="122"/>
      <c r="R56" s="122"/>
      <c r="S56" s="122"/>
      <c r="T56" s="122"/>
      <c r="U56" s="122"/>
      <c r="V56" s="122"/>
      <c r="W56" s="68"/>
    </row>
    <row r="57" spans="2:68" ht="15.75" x14ac:dyDescent="0.25">
      <c r="B57" s="156"/>
      <c r="C57" s="122">
        <v>12</v>
      </c>
      <c r="D57" s="123">
        <v>3823</v>
      </c>
      <c r="E57" s="123"/>
      <c r="F57" s="129">
        <f t="shared" si="9"/>
        <v>2.4847845133514108E-4</v>
      </c>
      <c r="G57" s="158">
        <f t="shared" si="9"/>
        <v>0</v>
      </c>
      <c r="H57" s="122"/>
      <c r="I57" s="122"/>
      <c r="J57" s="122"/>
      <c r="K57" s="122"/>
      <c r="L57" s="122"/>
      <c r="M57" s="122"/>
      <c r="N57" s="122"/>
      <c r="O57" s="127"/>
      <c r="P57" s="122"/>
      <c r="Q57" s="122"/>
      <c r="R57" s="122"/>
      <c r="S57" s="122"/>
      <c r="T57" s="122"/>
      <c r="U57" s="122"/>
      <c r="V57" s="122"/>
      <c r="W57" s="68"/>
    </row>
    <row r="58" spans="2:68" ht="15.75" x14ac:dyDescent="0.25">
      <c r="B58" s="156"/>
      <c r="C58" s="122">
        <v>13</v>
      </c>
      <c r="D58" s="123">
        <v>132972</v>
      </c>
      <c r="E58" s="123"/>
      <c r="F58" s="129">
        <f t="shared" si="9"/>
        <v>8.642604402546791E-3</v>
      </c>
      <c r="G58" s="158">
        <f t="shared" si="9"/>
        <v>0</v>
      </c>
      <c r="H58" s="122"/>
      <c r="I58" s="122"/>
      <c r="J58" s="122"/>
      <c r="K58" s="122"/>
      <c r="L58" s="122"/>
      <c r="M58" s="122"/>
      <c r="N58" s="122"/>
      <c r="O58" s="127"/>
      <c r="P58" s="122"/>
      <c r="Q58" s="122"/>
      <c r="R58" s="122"/>
      <c r="S58" s="122"/>
      <c r="T58" s="122"/>
      <c r="U58" s="122"/>
      <c r="V58" s="122"/>
      <c r="W58" s="68"/>
    </row>
    <row r="59" spans="2:68" ht="15.75" x14ac:dyDescent="0.25">
      <c r="B59" s="156"/>
      <c r="C59" s="122">
        <v>14</v>
      </c>
      <c r="D59" s="123">
        <v>0</v>
      </c>
      <c r="E59" s="123"/>
      <c r="F59" s="129">
        <f t="shared" si="9"/>
        <v>0</v>
      </c>
      <c r="G59" s="158">
        <f t="shared" si="9"/>
        <v>0</v>
      </c>
      <c r="H59" s="122"/>
      <c r="I59" s="122"/>
      <c r="J59" s="122"/>
      <c r="K59" s="122"/>
      <c r="L59" s="122"/>
      <c r="M59" s="122"/>
      <c r="N59" s="122"/>
      <c r="O59" s="127"/>
      <c r="P59" s="122"/>
      <c r="Q59" s="122"/>
      <c r="R59" s="122"/>
      <c r="S59" s="122"/>
      <c r="T59" s="122"/>
      <c r="U59" s="122"/>
      <c r="V59" s="122"/>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row>
    <row r="60" spans="2:68" ht="15.75" x14ac:dyDescent="0.25">
      <c r="B60" s="156"/>
      <c r="C60" s="122">
        <v>15</v>
      </c>
      <c r="D60" s="123">
        <v>622831</v>
      </c>
      <c r="E60" s="123"/>
      <c r="F60" s="129">
        <f t="shared" si="9"/>
        <v>4.0481318944158316E-2</v>
      </c>
      <c r="G60" s="158">
        <f t="shared" si="9"/>
        <v>0</v>
      </c>
      <c r="H60" s="122"/>
      <c r="I60" s="122"/>
      <c r="J60" s="122"/>
      <c r="K60" s="122"/>
      <c r="L60" s="122"/>
      <c r="M60" s="122"/>
      <c r="N60" s="122"/>
      <c r="O60" s="127"/>
      <c r="P60" s="122"/>
      <c r="Q60" s="122"/>
      <c r="R60" s="122"/>
      <c r="S60" s="122"/>
      <c r="T60" s="122"/>
      <c r="U60" s="122"/>
      <c r="V60" s="122"/>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row>
    <row r="61" spans="2:68" ht="15.75" thickBot="1" x14ac:dyDescent="0.3">
      <c r="B61" s="159"/>
      <c r="C61" s="160">
        <v>16</v>
      </c>
      <c r="D61" s="161">
        <v>826941</v>
      </c>
      <c r="E61" s="161"/>
      <c r="F61" s="162">
        <f t="shared" si="9"/>
        <v>5.3747585410811642E-2</v>
      </c>
      <c r="G61" s="163">
        <f t="shared" si="9"/>
        <v>0</v>
      </c>
      <c r="H61" s="122"/>
      <c r="I61" s="122"/>
      <c r="J61" s="122"/>
      <c r="K61" s="122"/>
      <c r="L61" s="122"/>
      <c r="M61" s="122"/>
      <c r="N61" s="122"/>
      <c r="O61" s="122"/>
      <c r="P61" s="122"/>
      <c r="Q61" s="122"/>
      <c r="R61" s="122"/>
      <c r="S61" s="122"/>
      <c r="T61" s="122"/>
      <c r="U61" s="122"/>
      <c r="V61" s="122"/>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row>
    <row r="62" spans="2:68" x14ac:dyDescent="0.25">
      <c r="H62" s="68"/>
      <c r="I62" s="68"/>
      <c r="J62" s="68"/>
      <c r="K62" s="68"/>
      <c r="L62" s="68"/>
      <c r="M62" s="68"/>
      <c r="N62" s="68"/>
      <c r="O62" s="68"/>
      <c r="P62" s="68"/>
      <c r="Q62" s="68"/>
      <c r="R62" s="68"/>
      <c r="S62" s="68"/>
      <c r="T62" s="68"/>
      <c r="U62" s="68"/>
      <c r="V62" s="68"/>
      <c r="W62" s="68"/>
    </row>
    <row r="63" spans="2:68" ht="15.75" thickBot="1" x14ac:dyDescent="0.3">
      <c r="D63" s="168"/>
      <c r="F63" s="129"/>
      <c r="H63" s="68"/>
      <c r="I63" s="68"/>
      <c r="J63" s="68"/>
      <c r="K63" s="68"/>
      <c r="L63" s="68"/>
      <c r="M63" s="68"/>
      <c r="N63" s="68"/>
      <c r="O63" s="68"/>
      <c r="P63" s="68"/>
      <c r="Q63" s="68"/>
      <c r="R63" s="68"/>
      <c r="S63" s="68"/>
      <c r="T63" s="68"/>
      <c r="U63" s="68"/>
      <c r="V63" s="68"/>
      <c r="W63" s="68"/>
    </row>
    <row r="64" spans="2:68" ht="15.75" thickBot="1" x14ac:dyDescent="0.3">
      <c r="B64" s="152"/>
      <c r="C64" s="153"/>
      <c r="D64" s="153" t="s">
        <v>136</v>
      </c>
      <c r="E64" s="153"/>
      <c r="F64" s="154">
        <v>64748300</v>
      </c>
      <c r="G64" s="155"/>
      <c r="H64" s="68"/>
      <c r="I64" s="68"/>
      <c r="J64" s="68"/>
      <c r="K64" s="68"/>
      <c r="L64" s="68"/>
      <c r="M64" s="68"/>
      <c r="N64" s="68"/>
      <c r="O64" s="68"/>
      <c r="P64" s="68"/>
      <c r="Q64" s="68"/>
      <c r="R64" s="68"/>
      <c r="S64" s="68"/>
      <c r="T64" s="68"/>
      <c r="U64" s="68"/>
      <c r="V64" s="68"/>
      <c r="W64" s="68"/>
    </row>
    <row r="65" spans="2:32" x14ac:dyDescent="0.25">
      <c r="B65" s="156"/>
      <c r="C65" s="130" t="s">
        <v>104</v>
      </c>
      <c r="D65" s="130" t="s">
        <v>105</v>
      </c>
      <c r="E65" s="130" t="s">
        <v>138</v>
      </c>
      <c r="F65" s="130" t="s">
        <v>107</v>
      </c>
      <c r="G65" s="165" t="s">
        <v>108</v>
      </c>
      <c r="H65" s="68"/>
      <c r="I65" s="68"/>
      <c r="J65" s="68"/>
      <c r="K65" s="68"/>
      <c r="L65" s="68"/>
      <c r="M65" s="68"/>
      <c r="N65" s="68"/>
      <c r="O65" s="68"/>
      <c r="P65" s="68"/>
      <c r="Q65" s="68"/>
      <c r="R65" s="68"/>
      <c r="S65" s="68"/>
      <c r="T65" s="68"/>
      <c r="U65" s="68"/>
      <c r="V65" s="68"/>
      <c r="W65" s="68"/>
    </row>
    <row r="66" spans="2:32" x14ac:dyDescent="0.25">
      <c r="B66" s="156"/>
      <c r="C66" s="122">
        <v>2</v>
      </c>
      <c r="D66" s="123">
        <v>3337501</v>
      </c>
      <c r="E66" s="123"/>
      <c r="F66" s="129">
        <f>D66/$F$64</f>
        <v>5.1545770313660748E-2</v>
      </c>
      <c r="G66" s="158">
        <f>E66/$F$45</f>
        <v>0</v>
      </c>
      <c r="H66" s="122"/>
      <c r="I66" s="68">
        <v>786324</v>
      </c>
      <c r="J66" s="68">
        <v>251822</v>
      </c>
      <c r="K66" s="68">
        <v>16730</v>
      </c>
      <c r="L66" s="118">
        <v>35550</v>
      </c>
      <c r="M66" s="118">
        <v>31817</v>
      </c>
      <c r="N66" s="118">
        <v>238884</v>
      </c>
      <c r="O66" s="118">
        <v>34116</v>
      </c>
      <c r="P66" s="118">
        <v>30495</v>
      </c>
      <c r="Q66" s="118">
        <v>238982</v>
      </c>
      <c r="R66" s="118">
        <v>29793</v>
      </c>
      <c r="S66" s="118">
        <v>76823</v>
      </c>
      <c r="T66" s="118">
        <v>978330</v>
      </c>
      <c r="U66" s="118">
        <v>220040</v>
      </c>
      <c r="V66" s="118"/>
      <c r="W66" s="118">
        <v>203303</v>
      </c>
      <c r="X66" s="118">
        <v>80694</v>
      </c>
      <c r="Y66" s="118">
        <v>29774</v>
      </c>
      <c r="Z66" s="118">
        <v>54024</v>
      </c>
      <c r="AF66">
        <f>+SUM(I66:AD66)</f>
        <v>3337501</v>
      </c>
    </row>
    <row r="67" spans="2:32" x14ac:dyDescent="0.25">
      <c r="B67" s="156"/>
      <c r="C67" s="122">
        <v>3</v>
      </c>
      <c r="D67" s="123">
        <v>8341990</v>
      </c>
      <c r="E67" s="123"/>
      <c r="F67" s="129">
        <f t="shared" ref="F67:F79" si="10">D67/$F$64</f>
        <v>0.12883720499225462</v>
      </c>
      <c r="G67" s="158">
        <f t="shared" ref="G67:G80" si="11">E67/$F$45</f>
        <v>0</v>
      </c>
      <c r="H67" s="122"/>
      <c r="I67" s="68">
        <v>352942</v>
      </c>
      <c r="J67" s="68">
        <v>3068511</v>
      </c>
      <c r="K67" s="68">
        <v>456837</v>
      </c>
      <c r="L67" s="118">
        <v>193056</v>
      </c>
      <c r="M67" s="118">
        <v>1510796</v>
      </c>
      <c r="N67" s="118">
        <v>363605</v>
      </c>
      <c r="O67" s="118">
        <v>345662</v>
      </c>
      <c r="P67" s="118">
        <v>109824</v>
      </c>
      <c r="Q67" s="118">
        <v>1338196</v>
      </c>
      <c r="R67" s="118">
        <v>198856</v>
      </c>
      <c r="S67" s="118">
        <v>243753</v>
      </c>
      <c r="T67" s="118">
        <v>159952</v>
      </c>
      <c r="U67" s="68"/>
      <c r="V67" s="68"/>
      <c r="W67" s="68"/>
      <c r="AF67">
        <f t="shared" ref="AF67:AF80" si="12">+SUM(I67:AD67)</f>
        <v>8341990</v>
      </c>
    </row>
    <row r="68" spans="2:32" x14ac:dyDescent="0.25">
      <c r="B68" s="156"/>
      <c r="C68" s="122">
        <v>4</v>
      </c>
      <c r="D68" s="123">
        <v>1098621</v>
      </c>
      <c r="E68" s="123"/>
      <c r="F68" s="129">
        <f t="shared" si="10"/>
        <v>1.6967565171595238E-2</v>
      </c>
      <c r="G68" s="158">
        <f t="shared" si="11"/>
        <v>0</v>
      </c>
      <c r="H68" s="122"/>
      <c r="I68" s="68">
        <v>148749</v>
      </c>
      <c r="J68" s="68">
        <v>143628</v>
      </c>
      <c r="K68" s="68">
        <v>127593</v>
      </c>
      <c r="L68" s="118">
        <v>133279</v>
      </c>
      <c r="M68" s="118">
        <v>127974</v>
      </c>
      <c r="N68" s="118">
        <v>162490</v>
      </c>
      <c r="O68" s="118">
        <v>254908</v>
      </c>
      <c r="P68" s="68"/>
      <c r="Q68" s="68"/>
      <c r="R68" s="68"/>
      <c r="S68" s="68"/>
      <c r="T68" s="68"/>
      <c r="U68" s="68"/>
      <c r="V68" s="68"/>
      <c r="W68" s="68"/>
      <c r="AF68">
        <f t="shared" si="12"/>
        <v>1098621</v>
      </c>
    </row>
    <row r="69" spans="2:32" x14ac:dyDescent="0.25">
      <c r="B69" s="156"/>
      <c r="C69" s="122">
        <v>5</v>
      </c>
      <c r="D69" s="123">
        <v>349239</v>
      </c>
      <c r="E69" s="123"/>
      <c r="F69" s="129">
        <f t="shared" si="10"/>
        <v>5.3937941227800573E-3</v>
      </c>
      <c r="G69" s="158">
        <f t="shared" si="11"/>
        <v>0</v>
      </c>
      <c r="H69" s="122"/>
      <c r="I69" s="118">
        <v>23275</v>
      </c>
      <c r="J69" s="68">
        <v>157521</v>
      </c>
      <c r="K69" s="68">
        <v>13065</v>
      </c>
      <c r="L69" s="118">
        <v>21752</v>
      </c>
      <c r="M69" s="118">
        <v>4917</v>
      </c>
      <c r="N69" s="118">
        <v>27397</v>
      </c>
      <c r="O69" s="118">
        <v>21694</v>
      </c>
      <c r="P69" s="118">
        <v>11089</v>
      </c>
      <c r="Q69" s="118">
        <v>64604</v>
      </c>
      <c r="R69" s="118">
        <v>1750</v>
      </c>
      <c r="S69" s="118">
        <v>2175</v>
      </c>
      <c r="T69" s="68"/>
      <c r="U69" s="68"/>
      <c r="V69" s="68"/>
      <c r="W69" s="68"/>
      <c r="AF69">
        <f t="shared" si="12"/>
        <v>349239</v>
      </c>
    </row>
    <row r="70" spans="2:32" x14ac:dyDescent="0.25">
      <c r="B70" s="156"/>
      <c r="C70" s="122">
        <v>6</v>
      </c>
      <c r="D70" s="123">
        <v>438042</v>
      </c>
      <c r="E70" s="123"/>
      <c r="F70" s="129">
        <f t="shared" si="10"/>
        <v>6.7653050350356689E-3</v>
      </c>
      <c r="G70" s="158">
        <f t="shared" si="11"/>
        <v>0</v>
      </c>
      <c r="H70" s="122"/>
      <c r="I70" s="118">
        <v>35015</v>
      </c>
      <c r="J70" s="118">
        <v>76056</v>
      </c>
      <c r="K70" s="118">
        <v>80671</v>
      </c>
      <c r="L70" s="118">
        <v>44537</v>
      </c>
      <c r="M70" s="118">
        <v>37578</v>
      </c>
      <c r="N70" s="118">
        <v>57630</v>
      </c>
      <c r="O70" s="118">
        <v>106555</v>
      </c>
      <c r="P70" s="68"/>
      <c r="Q70" s="68"/>
      <c r="R70" s="68"/>
      <c r="S70" s="68"/>
      <c r="T70" s="68"/>
      <c r="U70" s="68"/>
      <c r="V70" s="68"/>
      <c r="W70" s="68"/>
      <c r="AF70">
        <f t="shared" si="12"/>
        <v>438042</v>
      </c>
    </row>
    <row r="71" spans="2:32" x14ac:dyDescent="0.25">
      <c r="B71" s="156"/>
      <c r="C71" s="122">
        <v>7</v>
      </c>
      <c r="D71" s="123">
        <v>120761</v>
      </c>
      <c r="E71" s="123"/>
      <c r="F71" s="129">
        <f t="shared" si="10"/>
        <v>1.865083716483676E-3</v>
      </c>
      <c r="G71" s="158">
        <f t="shared" si="11"/>
        <v>0</v>
      </c>
      <c r="H71" s="122"/>
      <c r="I71" s="118">
        <v>13235</v>
      </c>
      <c r="J71" s="118">
        <v>8500</v>
      </c>
      <c r="K71" s="118">
        <v>18972</v>
      </c>
      <c r="L71" s="118">
        <v>4950</v>
      </c>
      <c r="M71" s="118">
        <v>15511</v>
      </c>
      <c r="N71" s="118">
        <v>12124</v>
      </c>
      <c r="O71" s="118">
        <v>13346</v>
      </c>
      <c r="P71" s="118">
        <v>14774</v>
      </c>
      <c r="Q71" s="118">
        <v>995</v>
      </c>
      <c r="R71" s="118">
        <v>18354</v>
      </c>
      <c r="S71" s="68"/>
      <c r="T71" s="68"/>
      <c r="U71" s="68"/>
      <c r="V71" s="68"/>
      <c r="W71" s="68"/>
      <c r="AF71">
        <f t="shared" si="12"/>
        <v>120761</v>
      </c>
    </row>
    <row r="72" spans="2:32" x14ac:dyDescent="0.25">
      <c r="B72" s="156"/>
      <c r="C72" s="122">
        <v>8</v>
      </c>
      <c r="D72" s="123">
        <v>54700</v>
      </c>
      <c r="E72" s="123"/>
      <c r="F72" s="129">
        <f t="shared" si="10"/>
        <v>8.4480982512282171E-4</v>
      </c>
      <c r="G72" s="158">
        <f t="shared" si="11"/>
        <v>0</v>
      </c>
      <c r="H72" s="122"/>
      <c r="I72" s="118">
        <v>5300</v>
      </c>
      <c r="J72" s="118">
        <v>5300</v>
      </c>
      <c r="K72" s="118">
        <v>5300</v>
      </c>
      <c r="L72" s="118">
        <v>5300</v>
      </c>
      <c r="M72" s="118">
        <v>5300</v>
      </c>
      <c r="N72" s="118">
        <v>7500</v>
      </c>
      <c r="O72" s="118">
        <v>20700</v>
      </c>
      <c r="P72" s="68"/>
      <c r="Q72" s="68"/>
      <c r="R72" s="68"/>
      <c r="S72" s="68"/>
      <c r="T72" s="68"/>
      <c r="U72" s="68"/>
      <c r="V72" s="68"/>
      <c r="W72" s="68"/>
      <c r="AF72">
        <f t="shared" si="12"/>
        <v>54700</v>
      </c>
    </row>
    <row r="73" spans="2:32" x14ac:dyDescent="0.25">
      <c r="B73" s="156"/>
      <c r="C73" s="122">
        <v>9</v>
      </c>
      <c r="D73" s="123">
        <v>159340</v>
      </c>
      <c r="E73" s="123"/>
      <c r="F73" s="129">
        <f t="shared" si="10"/>
        <v>2.4609140317197516E-3</v>
      </c>
      <c r="G73" s="158">
        <f t="shared" si="11"/>
        <v>0</v>
      </c>
      <c r="H73" s="122"/>
      <c r="I73" s="118">
        <v>8536</v>
      </c>
      <c r="J73">
        <v>14520</v>
      </c>
      <c r="K73">
        <v>32527</v>
      </c>
      <c r="L73">
        <v>3080</v>
      </c>
      <c r="M73">
        <v>9152</v>
      </c>
      <c r="N73">
        <v>10516</v>
      </c>
      <c r="O73">
        <v>20285</v>
      </c>
      <c r="P73">
        <v>13640</v>
      </c>
      <c r="Q73">
        <v>31404</v>
      </c>
      <c r="R73">
        <v>15680</v>
      </c>
      <c r="AF73">
        <f t="shared" si="12"/>
        <v>159340</v>
      </c>
    </row>
    <row r="74" spans="2:32" x14ac:dyDescent="0.25">
      <c r="B74" s="156"/>
      <c r="C74" s="122">
        <v>10</v>
      </c>
      <c r="D74" s="123">
        <v>19560</v>
      </c>
      <c r="E74" s="123"/>
      <c r="F74" s="129">
        <f t="shared" si="10"/>
        <v>3.0209287348084815E-4</v>
      </c>
      <c r="G74" s="158">
        <f t="shared" si="11"/>
        <v>0</v>
      </c>
      <c r="H74" s="122"/>
      <c r="I74" s="118">
        <v>1500</v>
      </c>
      <c r="J74">
        <v>18060</v>
      </c>
      <c r="AF74">
        <f t="shared" si="12"/>
        <v>19560</v>
      </c>
    </row>
    <row r="75" spans="2:32" x14ac:dyDescent="0.25">
      <c r="B75" s="156"/>
      <c r="C75" s="122">
        <v>11</v>
      </c>
      <c r="D75" s="123">
        <v>1466745</v>
      </c>
      <c r="E75" s="123"/>
      <c r="F75" s="129">
        <f t="shared" si="10"/>
        <v>2.2653027183725288E-2</v>
      </c>
      <c r="G75" s="158">
        <f t="shared" si="11"/>
        <v>0</v>
      </c>
      <c r="H75" s="122"/>
      <c r="I75">
        <v>264256</v>
      </c>
      <c r="J75">
        <v>11504</v>
      </c>
      <c r="K75">
        <v>1190985</v>
      </c>
      <c r="AF75">
        <f t="shared" si="12"/>
        <v>1466745</v>
      </c>
    </row>
    <row r="76" spans="2:32" x14ac:dyDescent="0.25">
      <c r="B76" s="156"/>
      <c r="C76" s="122">
        <v>12</v>
      </c>
      <c r="D76" s="123">
        <v>33858</v>
      </c>
      <c r="E76" s="123"/>
      <c r="F76" s="129">
        <f t="shared" si="10"/>
        <v>5.2291720400381169E-4</v>
      </c>
      <c r="G76" s="158">
        <f t="shared" si="11"/>
        <v>0</v>
      </c>
      <c r="H76" s="122"/>
      <c r="I76">
        <v>33858</v>
      </c>
      <c r="AF76">
        <f t="shared" si="12"/>
        <v>33858</v>
      </c>
    </row>
    <row r="77" spans="2:32" x14ac:dyDescent="0.25">
      <c r="B77" s="156"/>
      <c r="C77" s="122">
        <v>13</v>
      </c>
      <c r="D77" s="123">
        <v>86050</v>
      </c>
      <c r="E77" s="123"/>
      <c r="F77" s="129">
        <f t="shared" si="10"/>
        <v>1.3289924214226474E-3</v>
      </c>
      <c r="G77" s="158">
        <f t="shared" si="11"/>
        <v>0</v>
      </c>
      <c r="H77" s="122"/>
      <c r="I77">
        <v>7500</v>
      </c>
      <c r="J77">
        <v>9074</v>
      </c>
      <c r="K77">
        <v>5000</v>
      </c>
      <c r="L77">
        <v>32254</v>
      </c>
      <c r="M77">
        <v>11059</v>
      </c>
      <c r="N77">
        <v>5908</v>
      </c>
      <c r="O77">
        <v>10255</v>
      </c>
      <c r="P77">
        <v>5000</v>
      </c>
      <c r="AF77">
        <f t="shared" si="12"/>
        <v>86050</v>
      </c>
    </row>
    <row r="78" spans="2:32" x14ac:dyDescent="0.25">
      <c r="B78" s="156"/>
      <c r="C78" s="122">
        <v>14</v>
      </c>
      <c r="D78" s="123">
        <v>0</v>
      </c>
      <c r="E78" s="123"/>
      <c r="F78" s="129">
        <f t="shared" si="10"/>
        <v>0</v>
      </c>
      <c r="G78" s="158">
        <f t="shared" si="11"/>
        <v>0</v>
      </c>
      <c r="H78" s="122"/>
      <c r="AF78">
        <f t="shared" si="12"/>
        <v>0</v>
      </c>
    </row>
    <row r="79" spans="2:32" x14ac:dyDescent="0.25">
      <c r="B79" s="156"/>
      <c r="C79" s="122">
        <v>15</v>
      </c>
      <c r="D79" s="123">
        <v>4147058</v>
      </c>
      <c r="E79" s="123"/>
      <c r="F79" s="129">
        <f t="shared" si="10"/>
        <v>6.4048909392215705E-2</v>
      </c>
      <c r="G79" s="158">
        <f t="shared" si="11"/>
        <v>0</v>
      </c>
      <c r="H79" s="122"/>
      <c r="I79">
        <v>6000</v>
      </c>
      <c r="J79">
        <v>111538</v>
      </c>
      <c r="K79">
        <v>688479</v>
      </c>
      <c r="L79">
        <v>849899</v>
      </c>
      <c r="M79">
        <v>520973</v>
      </c>
      <c r="N79">
        <v>19839</v>
      </c>
      <c r="O79">
        <v>179801</v>
      </c>
      <c r="P79">
        <v>55830</v>
      </c>
      <c r="Q79">
        <v>108192</v>
      </c>
      <c r="R79">
        <v>47634</v>
      </c>
      <c r="S79">
        <v>46810</v>
      </c>
      <c r="T79">
        <v>211848</v>
      </c>
      <c r="U79">
        <v>353222</v>
      </c>
      <c r="W79">
        <v>14216</v>
      </c>
      <c r="X79">
        <v>41939</v>
      </c>
      <c r="Y79">
        <v>73805</v>
      </c>
      <c r="Z79">
        <v>144448</v>
      </c>
      <c r="AA79">
        <v>194233</v>
      </c>
      <c r="AB79">
        <v>131528</v>
      </c>
      <c r="AC79">
        <v>5750</v>
      </c>
      <c r="AD79">
        <v>341074</v>
      </c>
      <c r="AF79">
        <f t="shared" si="12"/>
        <v>4147058</v>
      </c>
    </row>
    <row r="80" spans="2:32" ht="15.75" thickBot="1" x14ac:dyDescent="0.3">
      <c r="B80" s="159"/>
      <c r="C80" s="160">
        <v>16</v>
      </c>
      <c r="D80" s="161">
        <v>3237684</v>
      </c>
      <c r="E80" s="161"/>
      <c r="F80" s="162">
        <f>D80/$F$64</f>
        <v>5.0004154549231405E-2</v>
      </c>
      <c r="G80" s="163">
        <f t="shared" si="11"/>
        <v>0</v>
      </c>
      <c r="H80" s="160"/>
      <c r="I80">
        <v>15000</v>
      </c>
      <c r="J80">
        <v>1713938</v>
      </c>
      <c r="K80">
        <v>93180</v>
      </c>
      <c r="L80">
        <v>7020</v>
      </c>
      <c r="M80">
        <v>7020</v>
      </c>
      <c r="N80">
        <v>143500</v>
      </c>
      <c r="O80">
        <v>271045</v>
      </c>
      <c r="P80">
        <v>41500</v>
      </c>
      <c r="Q80">
        <v>67480</v>
      </c>
      <c r="R80">
        <v>66261</v>
      </c>
      <c r="S80">
        <v>152990</v>
      </c>
      <c r="T80">
        <v>183050</v>
      </c>
      <c r="U80" s="53">
        <v>221500</v>
      </c>
      <c r="V80" s="53"/>
      <c r="W80">
        <v>254200</v>
      </c>
      <c r="AF80">
        <f t="shared" si="12"/>
        <v>3237684</v>
      </c>
    </row>
  </sheetData>
  <mergeCells count="1">
    <mergeCell ref="I7:W7"/>
  </mergeCells>
  <phoneticPr fontId="57" type="noConversion"/>
  <pageMargins left="0.7" right="0.7" top="0.75" bottom="0.75" header="0.3" footer="0.3"/>
  <pageSetup scale="41" orientation="landscape" r:id="rId1"/>
  <headerFooter>
    <oddHeader>&amp;C&amp;A&amp;R&amp;A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W51"/>
  <sheetViews>
    <sheetView tabSelected="1" zoomScale="70" zoomScaleNormal="70" workbookViewId="0">
      <selection activeCell="K30" sqref="K30"/>
    </sheetView>
  </sheetViews>
  <sheetFormatPr defaultRowHeight="15" x14ac:dyDescent="0.25"/>
  <cols>
    <col min="2" max="2" width="32.7109375" customWidth="1"/>
    <col min="3" max="5" width="10.7109375" customWidth="1"/>
    <col min="6" max="7" width="11.28515625" customWidth="1"/>
    <col min="8" max="8" width="12.28515625" customWidth="1"/>
    <col min="10" max="10" width="2.85546875" customWidth="1"/>
    <col min="13" max="13" width="12.85546875" customWidth="1"/>
    <col min="15" max="15" width="32" customWidth="1"/>
    <col min="19" max="19" width="5.42578125" customWidth="1"/>
  </cols>
  <sheetData>
    <row r="2" spans="1:23" ht="18" x14ac:dyDescent="0.25">
      <c r="A2" s="169"/>
      <c r="B2" s="464"/>
      <c r="C2" s="465"/>
      <c r="D2" s="465"/>
      <c r="E2" s="465"/>
      <c r="F2" s="465"/>
      <c r="G2" s="465"/>
      <c r="H2" s="465"/>
      <c r="I2" s="465"/>
      <c r="J2" s="170"/>
      <c r="K2" s="171"/>
      <c r="L2" s="172"/>
      <c r="M2" s="172"/>
      <c r="N2" s="172"/>
      <c r="O2" s="172"/>
    </row>
    <row r="3" spans="1:23" ht="18" x14ac:dyDescent="0.25">
      <c r="A3" s="169"/>
      <c r="B3" s="466"/>
      <c r="C3" s="467"/>
      <c r="D3" s="467"/>
      <c r="E3" s="467"/>
      <c r="F3" s="467"/>
      <c r="G3" s="467"/>
      <c r="H3" s="467"/>
      <c r="I3" s="468"/>
      <c r="J3" s="170"/>
      <c r="K3" s="171"/>
      <c r="L3" s="172"/>
      <c r="M3" s="172"/>
      <c r="N3" s="172"/>
      <c r="O3" s="172"/>
    </row>
    <row r="4" spans="1:23" ht="18" x14ac:dyDescent="0.25">
      <c r="A4" s="169"/>
      <c r="B4" s="464"/>
      <c r="C4" s="465"/>
      <c r="D4" s="465"/>
      <c r="E4" s="465"/>
      <c r="F4" s="465"/>
      <c r="G4" s="465"/>
      <c r="H4" s="465"/>
      <c r="I4" s="465"/>
      <c r="J4" s="170"/>
      <c r="K4" s="171"/>
      <c r="L4" s="172"/>
      <c r="M4" s="172"/>
      <c r="N4" s="172"/>
      <c r="O4" s="172"/>
    </row>
    <row r="5" spans="1:23" ht="18" x14ac:dyDescent="0.25">
      <c r="A5" s="169"/>
      <c r="B5" s="464" t="s">
        <v>143</v>
      </c>
      <c r="C5" s="465"/>
      <c r="D5" s="465"/>
      <c r="E5" s="465"/>
      <c r="F5" s="465"/>
      <c r="G5" s="465"/>
      <c r="H5" s="465"/>
      <c r="I5" s="465"/>
      <c r="J5" s="170"/>
      <c r="K5" s="171"/>
      <c r="L5" s="172"/>
      <c r="M5" s="172"/>
      <c r="N5" s="172"/>
      <c r="O5" s="172"/>
      <c r="W5" s="173"/>
    </row>
    <row r="6" spans="1:23" x14ac:dyDescent="0.25">
      <c r="A6" s="169"/>
      <c r="B6" s="174"/>
      <c r="C6" s="174"/>
      <c r="D6" s="174"/>
      <c r="E6" s="174"/>
      <c r="F6" s="174"/>
      <c r="G6" s="174"/>
      <c r="H6" s="174"/>
      <c r="I6" s="174"/>
      <c r="J6" s="175"/>
      <c r="K6" s="172"/>
      <c r="L6" s="172"/>
      <c r="M6" s="172"/>
      <c r="N6" s="172"/>
      <c r="O6" s="172"/>
    </row>
    <row r="7" spans="1:23" ht="15.75" x14ac:dyDescent="0.25">
      <c r="A7" s="169"/>
      <c r="B7" s="176"/>
      <c r="C7" s="176"/>
      <c r="D7" s="176"/>
      <c r="E7" s="176"/>
      <c r="F7" s="176"/>
      <c r="G7" s="176"/>
      <c r="H7" s="174"/>
      <c r="I7" s="174"/>
      <c r="J7" s="175"/>
      <c r="K7" s="172"/>
      <c r="L7" s="172"/>
      <c r="M7" s="172"/>
      <c r="N7" s="172"/>
      <c r="O7" s="172"/>
    </row>
    <row r="8" spans="1:23" ht="15.75" x14ac:dyDescent="0.25">
      <c r="A8" s="169"/>
      <c r="B8" s="176" t="s">
        <v>144</v>
      </c>
      <c r="C8" s="176" t="s">
        <v>145</v>
      </c>
      <c r="D8" s="176"/>
      <c r="E8" s="176"/>
      <c r="F8" s="176"/>
      <c r="G8" s="176"/>
      <c r="H8" s="174"/>
      <c r="I8" s="174"/>
      <c r="J8" s="175"/>
      <c r="K8" s="172"/>
      <c r="L8" s="172"/>
      <c r="M8" s="172"/>
      <c r="N8" s="172"/>
      <c r="O8" s="172"/>
    </row>
    <row r="9" spans="1:23" ht="15.75" x14ac:dyDescent="0.25">
      <c r="A9" s="169"/>
      <c r="B9" s="469"/>
      <c r="C9" s="469"/>
      <c r="D9" s="469"/>
      <c r="E9" s="469"/>
      <c r="F9" s="469"/>
      <c r="G9" s="469"/>
      <c r="H9" s="469"/>
      <c r="I9" s="469"/>
      <c r="J9" s="175"/>
      <c r="K9" s="172"/>
      <c r="L9" s="172"/>
      <c r="M9" s="172"/>
      <c r="N9" s="172"/>
    </row>
    <row r="10" spans="1:23" ht="15.6" customHeight="1" x14ac:dyDescent="0.25">
      <c r="A10" s="169"/>
      <c r="B10" s="177"/>
      <c r="C10" s="470" t="s">
        <v>146</v>
      </c>
      <c r="D10" s="471"/>
      <c r="E10" s="471"/>
      <c r="F10" s="472" t="s">
        <v>147</v>
      </c>
      <c r="G10" s="461" t="s">
        <v>126</v>
      </c>
      <c r="H10" s="472" t="s">
        <v>148</v>
      </c>
      <c r="I10" s="461" t="s">
        <v>126</v>
      </c>
      <c r="J10" s="175"/>
      <c r="K10" s="461" t="s">
        <v>149</v>
      </c>
      <c r="L10" s="178"/>
      <c r="M10" s="172"/>
      <c r="N10" s="172"/>
    </row>
    <row r="11" spans="1:23" ht="15.75" x14ac:dyDescent="0.25">
      <c r="A11" s="169"/>
      <c r="B11" s="177" t="s">
        <v>150</v>
      </c>
      <c r="C11" s="462" t="s">
        <v>151</v>
      </c>
      <c r="D11" s="462" t="s">
        <v>152</v>
      </c>
      <c r="E11" s="462" t="s">
        <v>10</v>
      </c>
      <c r="F11" s="473"/>
      <c r="G11" s="461"/>
      <c r="H11" s="473"/>
      <c r="I11" s="461"/>
      <c r="J11" s="175"/>
      <c r="K11" s="461"/>
      <c r="L11" s="178"/>
      <c r="M11" s="172"/>
      <c r="N11" s="172"/>
    </row>
    <row r="12" spans="1:23" ht="15.75" x14ac:dyDescent="0.25">
      <c r="A12" s="169"/>
      <c r="B12" s="179"/>
      <c r="C12" s="463"/>
      <c r="D12" s="463"/>
      <c r="E12" s="463"/>
      <c r="F12" s="180" t="s">
        <v>153</v>
      </c>
      <c r="G12" s="461"/>
      <c r="H12" s="180" t="s">
        <v>154</v>
      </c>
      <c r="I12" s="461"/>
      <c r="J12" s="175"/>
      <c r="K12" s="461"/>
      <c r="L12" s="178"/>
      <c r="N12" s="172"/>
    </row>
    <row r="13" spans="1:23" ht="15.75" x14ac:dyDescent="0.25">
      <c r="A13" s="169"/>
      <c r="B13" s="181"/>
      <c r="C13" s="177"/>
      <c r="D13" s="177"/>
      <c r="E13" s="177"/>
      <c r="F13" s="177"/>
      <c r="G13" s="177"/>
      <c r="H13" s="182"/>
      <c r="I13" s="183"/>
      <c r="J13" s="175"/>
      <c r="K13" s="183"/>
      <c r="L13" s="178"/>
      <c r="N13" s="172"/>
    </row>
    <row r="14" spans="1:23" ht="15.75" x14ac:dyDescent="0.25">
      <c r="A14" s="169"/>
      <c r="B14" s="177" t="s">
        <v>109</v>
      </c>
      <c r="C14" s="184">
        <v>23.63</v>
      </c>
      <c r="D14" s="184">
        <v>10.98</v>
      </c>
      <c r="E14" s="184">
        <f t="shared" ref="E14:E25" si="0">C14+D14</f>
        <v>34.61</v>
      </c>
      <c r="F14" s="184">
        <f t="shared" ref="F14:F25" si="1">C14*0.25</f>
        <v>5.9074999999999998</v>
      </c>
      <c r="G14" s="184">
        <f t="shared" ref="G14:G25" si="2">E14+F14</f>
        <v>40.517499999999998</v>
      </c>
      <c r="H14" s="184">
        <f>+G14*0.2</f>
        <v>8.1035000000000004</v>
      </c>
      <c r="I14" s="184">
        <f>SUM(G14:H14)</f>
        <v>48.620999999999995</v>
      </c>
      <c r="J14" s="175"/>
      <c r="K14" s="185">
        <v>0.1168</v>
      </c>
      <c r="L14" s="178"/>
      <c r="M14" s="172"/>
      <c r="N14" s="172"/>
    </row>
    <row r="15" spans="1:23" ht="15.75" x14ac:dyDescent="0.25">
      <c r="A15" s="169"/>
      <c r="B15" s="177" t="s">
        <v>110</v>
      </c>
      <c r="C15" s="184">
        <v>23.63</v>
      </c>
      <c r="D15" s="184">
        <v>10.98</v>
      </c>
      <c r="E15" s="184">
        <f t="shared" si="0"/>
        <v>34.61</v>
      </c>
      <c r="F15" s="184">
        <f t="shared" si="1"/>
        <v>5.9074999999999998</v>
      </c>
      <c r="G15" s="184">
        <f t="shared" si="2"/>
        <v>40.517499999999998</v>
      </c>
      <c r="H15" s="184">
        <f t="shared" ref="H15:H27" si="3">+G15*0.2</f>
        <v>8.1035000000000004</v>
      </c>
      <c r="I15" s="184">
        <f>SUM(G15:H15)</f>
        <v>48.620999999999995</v>
      </c>
      <c r="J15" s="175"/>
      <c r="K15" s="185">
        <v>0.14799999999999999</v>
      </c>
      <c r="L15" s="178"/>
      <c r="M15" s="172"/>
      <c r="N15" s="172"/>
    </row>
    <row r="16" spans="1:23" ht="15.75" x14ac:dyDescent="0.25">
      <c r="A16" s="169"/>
      <c r="B16" s="177" t="s">
        <v>111</v>
      </c>
      <c r="C16" s="184">
        <v>28.98</v>
      </c>
      <c r="D16" s="184">
        <v>10.67</v>
      </c>
      <c r="E16" s="184">
        <f t="shared" si="0"/>
        <v>39.65</v>
      </c>
      <c r="F16" s="184">
        <f t="shared" si="1"/>
        <v>7.2450000000000001</v>
      </c>
      <c r="G16" s="184">
        <f t="shared" si="2"/>
        <v>46.894999999999996</v>
      </c>
      <c r="H16" s="184">
        <f t="shared" si="3"/>
        <v>9.3789999999999996</v>
      </c>
      <c r="I16" s="184">
        <f>SUM(G16:H16)</f>
        <v>56.273999999999994</v>
      </c>
      <c r="J16" s="175"/>
      <c r="K16" s="185">
        <v>6.1400000000000003E-2</v>
      </c>
      <c r="L16" s="178"/>
      <c r="M16" s="172"/>
      <c r="N16" s="172"/>
    </row>
    <row r="17" spans="1:15" ht="15.75" x14ac:dyDescent="0.25">
      <c r="A17" s="169"/>
      <c r="B17" s="177" t="s">
        <v>112</v>
      </c>
      <c r="C17" s="184">
        <v>30.15</v>
      </c>
      <c r="D17" s="184">
        <v>11.96</v>
      </c>
      <c r="E17" s="184">
        <f t="shared" si="0"/>
        <v>42.11</v>
      </c>
      <c r="F17" s="184">
        <f t="shared" si="1"/>
        <v>7.5374999999999996</v>
      </c>
      <c r="G17" s="184">
        <f t="shared" si="2"/>
        <v>49.647500000000001</v>
      </c>
      <c r="H17" s="184">
        <f t="shared" si="3"/>
        <v>9.9295000000000009</v>
      </c>
      <c r="I17" s="184">
        <f t="shared" ref="I17:I25" si="4">SUM(G17:H17)</f>
        <v>59.576999999999998</v>
      </c>
      <c r="J17" s="175"/>
      <c r="K17" s="185">
        <v>0.14799999999999999</v>
      </c>
      <c r="L17" s="178"/>
      <c r="M17" s="172"/>
      <c r="N17" s="172"/>
    </row>
    <row r="18" spans="1:15" ht="15.75" x14ac:dyDescent="0.25">
      <c r="A18" s="169"/>
      <c r="B18" s="177" t="s">
        <v>113</v>
      </c>
      <c r="C18" s="184">
        <v>24.47</v>
      </c>
      <c r="D18" s="184">
        <v>17.57</v>
      </c>
      <c r="E18" s="184">
        <f t="shared" si="0"/>
        <v>42.04</v>
      </c>
      <c r="F18" s="184">
        <f t="shared" si="1"/>
        <v>6.1174999999999997</v>
      </c>
      <c r="G18" s="184">
        <f t="shared" si="2"/>
        <v>48.157499999999999</v>
      </c>
      <c r="H18" s="184">
        <f t="shared" si="3"/>
        <v>9.6315000000000008</v>
      </c>
      <c r="I18" s="184">
        <f t="shared" si="4"/>
        <v>57.789000000000001</v>
      </c>
      <c r="J18" s="175"/>
      <c r="K18" s="185">
        <v>0.2923</v>
      </c>
      <c r="L18" s="178"/>
      <c r="M18" s="172"/>
      <c r="N18" s="172"/>
    </row>
    <row r="19" spans="1:15" ht="15.75" x14ac:dyDescent="0.25">
      <c r="A19" s="169"/>
      <c r="B19" s="177" t="s">
        <v>114</v>
      </c>
      <c r="C19" s="184">
        <v>21.72</v>
      </c>
      <c r="D19" s="184">
        <v>10.78</v>
      </c>
      <c r="E19" s="184">
        <f t="shared" si="0"/>
        <v>32.5</v>
      </c>
      <c r="F19" s="184">
        <f t="shared" si="1"/>
        <v>5.43</v>
      </c>
      <c r="G19" s="184">
        <f t="shared" si="2"/>
        <v>37.93</v>
      </c>
      <c r="H19" s="184">
        <f t="shared" si="3"/>
        <v>7.5860000000000003</v>
      </c>
      <c r="I19" s="184">
        <f t="shared" si="4"/>
        <v>45.515999999999998</v>
      </c>
      <c r="J19" s="175"/>
      <c r="K19" s="185">
        <v>0.14799999999999999</v>
      </c>
      <c r="L19" s="178"/>
      <c r="M19" s="172"/>
      <c r="N19" s="172"/>
    </row>
    <row r="20" spans="1:15" ht="15.75" x14ac:dyDescent="0.25">
      <c r="A20" s="169"/>
      <c r="B20" s="177" t="s">
        <v>155</v>
      </c>
      <c r="C20" s="184">
        <v>27.72</v>
      </c>
      <c r="D20" s="184">
        <v>11.05</v>
      </c>
      <c r="E20" s="184">
        <f t="shared" si="0"/>
        <v>38.769999999999996</v>
      </c>
      <c r="F20" s="184">
        <f t="shared" si="1"/>
        <v>6.93</v>
      </c>
      <c r="G20" s="184">
        <f t="shared" si="2"/>
        <v>45.699999999999996</v>
      </c>
      <c r="H20" s="184">
        <f t="shared" si="3"/>
        <v>9.1399999999999988</v>
      </c>
      <c r="I20" s="184">
        <f t="shared" si="4"/>
        <v>54.839999999999996</v>
      </c>
      <c r="J20" s="175"/>
      <c r="K20" s="185">
        <v>0.12709999999999999</v>
      </c>
      <c r="L20" s="178"/>
      <c r="M20" s="172"/>
      <c r="N20" s="172"/>
    </row>
    <row r="21" spans="1:15" ht="15.75" x14ac:dyDescent="0.25">
      <c r="A21" s="169"/>
      <c r="B21" s="177" t="s">
        <v>156</v>
      </c>
      <c r="C21" s="184">
        <v>22.5</v>
      </c>
      <c r="D21" s="184">
        <v>8.7899999999999991</v>
      </c>
      <c r="E21" s="184">
        <f t="shared" si="0"/>
        <v>31.29</v>
      </c>
      <c r="F21" s="184">
        <f t="shared" si="1"/>
        <v>5.625</v>
      </c>
      <c r="G21" s="184">
        <f t="shared" si="2"/>
        <v>36.914999999999999</v>
      </c>
      <c r="H21" s="184">
        <f t="shared" si="3"/>
        <v>7.383</v>
      </c>
      <c r="I21" s="184">
        <f t="shared" si="4"/>
        <v>44.298000000000002</v>
      </c>
      <c r="J21" s="175"/>
      <c r="K21" s="185">
        <v>0.12330000000000001</v>
      </c>
      <c r="L21" s="178"/>
      <c r="M21" s="172"/>
      <c r="N21" s="172"/>
    </row>
    <row r="22" spans="1:15" ht="15.75" x14ac:dyDescent="0.25">
      <c r="A22" s="169"/>
      <c r="B22" s="177" t="s">
        <v>117</v>
      </c>
      <c r="C22" s="184">
        <v>30.12</v>
      </c>
      <c r="D22" s="184">
        <v>13.28</v>
      </c>
      <c r="E22" s="184">
        <f t="shared" si="0"/>
        <v>43.4</v>
      </c>
      <c r="F22" s="184">
        <f t="shared" si="1"/>
        <v>7.53</v>
      </c>
      <c r="G22" s="184">
        <f t="shared" si="2"/>
        <v>50.93</v>
      </c>
      <c r="H22" s="184">
        <f t="shared" si="3"/>
        <v>10.186</v>
      </c>
      <c r="I22" s="184">
        <f t="shared" si="4"/>
        <v>61.116</v>
      </c>
      <c r="J22" s="175"/>
      <c r="K22" s="185">
        <v>6.9900000000000004E-2</v>
      </c>
      <c r="L22" s="178"/>
      <c r="M22" s="172"/>
      <c r="N22" s="172"/>
    </row>
    <row r="23" spans="1:15" ht="15.75" x14ac:dyDescent="0.25">
      <c r="A23" s="169"/>
      <c r="B23" s="177" t="s">
        <v>118</v>
      </c>
      <c r="C23" s="184">
        <v>31.01</v>
      </c>
      <c r="D23" s="184">
        <v>17.21</v>
      </c>
      <c r="E23" s="184">
        <f t="shared" si="0"/>
        <v>48.22</v>
      </c>
      <c r="F23" s="184">
        <f t="shared" si="1"/>
        <v>7.7525000000000004</v>
      </c>
      <c r="G23" s="184">
        <f t="shared" si="2"/>
        <v>55.972499999999997</v>
      </c>
      <c r="H23" s="184">
        <f t="shared" si="3"/>
        <v>11.1945</v>
      </c>
      <c r="I23" s="184">
        <f t="shared" si="4"/>
        <v>67.167000000000002</v>
      </c>
      <c r="J23" s="175"/>
      <c r="K23" s="185">
        <v>9.7100000000000006E-2</v>
      </c>
      <c r="L23" s="178"/>
      <c r="M23" s="172"/>
      <c r="N23" s="172"/>
    </row>
    <row r="24" spans="1:15" ht="15.75" x14ac:dyDescent="0.25">
      <c r="A24" s="169"/>
      <c r="B24" s="177" t="s">
        <v>157</v>
      </c>
      <c r="C24" s="184">
        <v>25.91</v>
      </c>
      <c r="D24" s="184">
        <v>9.6999999999999993</v>
      </c>
      <c r="E24" s="184">
        <f t="shared" si="0"/>
        <v>35.61</v>
      </c>
      <c r="F24" s="184">
        <f t="shared" si="1"/>
        <v>6.4775</v>
      </c>
      <c r="G24" s="184">
        <f t="shared" si="2"/>
        <v>42.087499999999999</v>
      </c>
      <c r="H24" s="184">
        <f t="shared" si="3"/>
        <v>8.4175000000000004</v>
      </c>
      <c r="I24" s="184">
        <f t="shared" si="4"/>
        <v>50.504999999999995</v>
      </c>
      <c r="J24" s="175"/>
      <c r="K24" s="185">
        <v>0.14799999999999999</v>
      </c>
      <c r="L24" s="178"/>
      <c r="M24" s="172"/>
      <c r="N24" s="172"/>
    </row>
    <row r="25" spans="1:15" ht="15.75" x14ac:dyDescent="0.25">
      <c r="A25" s="169"/>
      <c r="B25" s="177" t="s">
        <v>120</v>
      </c>
      <c r="C25" s="184">
        <v>30.12</v>
      </c>
      <c r="D25" s="184">
        <v>13.28</v>
      </c>
      <c r="E25" s="184">
        <f t="shared" si="0"/>
        <v>43.4</v>
      </c>
      <c r="F25" s="184">
        <f t="shared" si="1"/>
        <v>7.53</v>
      </c>
      <c r="G25" s="184">
        <f t="shared" si="2"/>
        <v>50.93</v>
      </c>
      <c r="H25" s="184">
        <f t="shared" si="3"/>
        <v>10.186</v>
      </c>
      <c r="I25" s="184">
        <f t="shared" si="4"/>
        <v>61.116</v>
      </c>
      <c r="J25" s="175"/>
      <c r="K25" s="185">
        <v>6.9900000000000004E-2</v>
      </c>
      <c r="L25" s="178"/>
      <c r="M25" s="172"/>
      <c r="N25" s="172"/>
    </row>
    <row r="26" spans="1:15" ht="15.75" x14ac:dyDescent="0.25">
      <c r="A26" s="186"/>
      <c r="B26" s="177" t="s">
        <v>121</v>
      </c>
      <c r="C26" s="184">
        <v>22.37</v>
      </c>
      <c r="D26" s="184">
        <v>9.43</v>
      </c>
      <c r="E26" s="184">
        <f>C26+D26</f>
        <v>31.8</v>
      </c>
      <c r="F26" s="184">
        <f>C26*0.25</f>
        <v>5.5925000000000002</v>
      </c>
      <c r="G26" s="184">
        <f>E26+F26</f>
        <v>37.392499999999998</v>
      </c>
      <c r="H26" s="184">
        <f t="shared" si="3"/>
        <v>7.4785000000000004</v>
      </c>
      <c r="I26" s="184">
        <f>SUM(G26:H26)</f>
        <v>44.870999999999995</v>
      </c>
      <c r="J26" s="175"/>
      <c r="K26" s="185">
        <v>0.1237</v>
      </c>
      <c r="L26" s="178"/>
      <c r="M26" s="172"/>
      <c r="N26" s="172"/>
    </row>
    <row r="27" spans="1:15" ht="15.75" x14ac:dyDescent="0.25">
      <c r="A27" s="186"/>
      <c r="B27" s="177" t="s">
        <v>123</v>
      </c>
      <c r="C27" s="184">
        <v>18</v>
      </c>
      <c r="D27" s="184">
        <v>8.4600000000000009</v>
      </c>
      <c r="E27" s="184">
        <f>C27+D27</f>
        <v>26.46</v>
      </c>
      <c r="F27" s="184">
        <f>C27*0.25</f>
        <v>4.5</v>
      </c>
      <c r="G27" s="184">
        <f>E27+F27</f>
        <v>30.96</v>
      </c>
      <c r="H27" s="187">
        <f t="shared" si="3"/>
        <v>6.1920000000000002</v>
      </c>
      <c r="I27" s="184">
        <f>SUM(G27:H27)</f>
        <v>37.152000000000001</v>
      </c>
      <c r="J27" s="175"/>
      <c r="K27" s="185"/>
      <c r="L27" s="178"/>
      <c r="M27" s="172"/>
      <c r="N27" s="172"/>
    </row>
    <row r="28" spans="1:15" x14ac:dyDescent="0.25">
      <c r="A28" s="172"/>
      <c r="B28" s="172"/>
      <c r="C28" s="172"/>
      <c r="D28" s="172"/>
      <c r="E28" s="172"/>
      <c r="F28" s="172"/>
      <c r="G28" s="172"/>
      <c r="H28" s="172"/>
      <c r="I28" s="172"/>
      <c r="J28" s="172"/>
      <c r="K28" s="172"/>
      <c r="L28" s="172"/>
      <c r="M28" s="172"/>
      <c r="N28" s="172"/>
    </row>
    <row r="29" spans="1:15" x14ac:dyDescent="0.25">
      <c r="A29" s="172"/>
      <c r="B29" s="188" t="s">
        <v>158</v>
      </c>
      <c r="C29" s="172"/>
      <c r="D29" s="172"/>
      <c r="E29" s="172"/>
      <c r="F29" s="172"/>
      <c r="G29" s="172"/>
      <c r="H29" s="172"/>
      <c r="I29" s="172"/>
      <c r="J29" s="172"/>
      <c r="K29" s="172" t="s">
        <v>159</v>
      </c>
      <c r="L29" s="172"/>
      <c r="M29" s="172"/>
      <c r="N29" s="172"/>
      <c r="O29" s="172"/>
    </row>
    <row r="30" spans="1:15" x14ac:dyDescent="0.25">
      <c r="A30" s="172"/>
      <c r="B30" s="172"/>
      <c r="C30" s="172"/>
      <c r="D30" s="172"/>
      <c r="E30" s="172"/>
      <c r="F30" s="172"/>
      <c r="G30" s="172"/>
      <c r="H30" s="172"/>
      <c r="I30" s="172"/>
      <c r="J30" s="172"/>
      <c r="K30" s="172" t="s">
        <v>160</v>
      </c>
      <c r="L30" s="172"/>
      <c r="M30" s="172"/>
      <c r="N30" s="172"/>
      <c r="O30" s="172"/>
    </row>
    <row r="31" spans="1:15" ht="15.75" x14ac:dyDescent="0.25">
      <c r="A31" s="172"/>
      <c r="B31" s="189" t="s">
        <v>122</v>
      </c>
      <c r="C31" s="184">
        <v>50</v>
      </c>
      <c r="D31" s="172"/>
      <c r="E31" s="172"/>
      <c r="F31" s="172"/>
      <c r="G31" s="172"/>
      <c r="H31" s="172"/>
      <c r="I31" s="172"/>
      <c r="J31" s="172"/>
      <c r="K31" s="172"/>
      <c r="L31" s="172"/>
      <c r="M31" s="172"/>
      <c r="N31" s="172"/>
      <c r="O31" s="172"/>
    </row>
    <row r="32" spans="1:15" x14ac:dyDescent="0.25">
      <c r="A32" s="172"/>
      <c r="D32" s="172"/>
      <c r="E32" s="172"/>
      <c r="F32" s="172"/>
      <c r="G32" s="172"/>
      <c r="H32" s="172"/>
      <c r="I32" s="172"/>
      <c r="J32" s="172"/>
      <c r="K32" s="172"/>
      <c r="L32" s="172"/>
      <c r="M32" s="172"/>
      <c r="N32" s="172"/>
      <c r="O32" s="172"/>
    </row>
    <row r="33" spans="1:15" x14ac:dyDescent="0.25">
      <c r="A33" s="172"/>
      <c r="B33" s="172"/>
      <c r="C33" s="172"/>
      <c r="D33" s="172"/>
      <c r="E33" s="172"/>
      <c r="F33" s="172"/>
      <c r="G33" s="172"/>
      <c r="H33" s="172"/>
      <c r="I33" s="172"/>
      <c r="J33" s="172"/>
      <c r="K33" s="172"/>
      <c r="L33" s="172"/>
      <c r="M33" s="172"/>
      <c r="N33" s="172"/>
      <c r="O33" s="172"/>
    </row>
    <row r="34" spans="1:15" x14ac:dyDescent="0.25">
      <c r="A34" s="172"/>
      <c r="B34" s="172"/>
      <c r="C34" s="190" t="s">
        <v>161</v>
      </c>
      <c r="E34" s="172"/>
      <c r="F34" s="172"/>
      <c r="G34" s="172"/>
      <c r="H34" s="172"/>
      <c r="I34" s="172"/>
      <c r="J34" s="172"/>
      <c r="K34" s="172"/>
      <c r="O34" s="172"/>
    </row>
    <row r="35" spans="1:15" x14ac:dyDescent="0.25">
      <c r="A35" s="172"/>
      <c r="B35" s="172" t="s">
        <v>162</v>
      </c>
      <c r="C35" s="172" t="s">
        <v>163</v>
      </c>
      <c r="E35" s="172"/>
      <c r="F35" s="172"/>
      <c r="G35" s="172"/>
      <c r="H35" s="172"/>
      <c r="I35" s="191">
        <f>(I17+I17+I19+I19+I25)/5</f>
        <v>54.26039999999999</v>
      </c>
      <c r="J35" s="172"/>
      <c r="O35" s="172"/>
    </row>
    <row r="36" spans="1:15" x14ac:dyDescent="0.25">
      <c r="A36" s="172"/>
      <c r="B36" s="172" t="s">
        <v>164</v>
      </c>
      <c r="C36" s="172" t="s">
        <v>165</v>
      </c>
      <c r="E36" s="172"/>
      <c r="F36" s="172"/>
      <c r="G36" s="172"/>
      <c r="H36" s="172"/>
      <c r="I36" s="191">
        <f>(I14+I14+I19+I19+I17+I20)/6</f>
        <v>50.448499999999996</v>
      </c>
      <c r="J36" s="172"/>
      <c r="O36" s="172"/>
    </row>
    <row r="37" spans="1:15" x14ac:dyDescent="0.25">
      <c r="A37" s="172"/>
      <c r="B37" s="172" t="s">
        <v>164</v>
      </c>
      <c r="C37" s="172" t="s">
        <v>166</v>
      </c>
      <c r="E37" s="172"/>
      <c r="F37" s="172"/>
      <c r="G37" s="172"/>
      <c r="H37" s="172"/>
      <c r="I37" s="191">
        <f>I18</f>
        <v>57.789000000000001</v>
      </c>
      <c r="J37" s="172"/>
      <c r="O37" s="172"/>
    </row>
    <row r="38" spans="1:15" x14ac:dyDescent="0.25">
      <c r="A38" s="172"/>
      <c r="B38" s="172" t="s">
        <v>167</v>
      </c>
      <c r="C38" s="172" t="s">
        <v>168</v>
      </c>
      <c r="E38" s="172"/>
      <c r="F38" s="172"/>
      <c r="G38" s="172"/>
      <c r="H38" s="172"/>
      <c r="I38" s="191">
        <f>(3*I20+2*I19)/5</f>
        <v>51.110399999999991</v>
      </c>
      <c r="J38" s="172"/>
      <c r="O38" s="172"/>
    </row>
    <row r="39" spans="1:15" x14ac:dyDescent="0.25">
      <c r="A39" s="172"/>
      <c r="B39" s="172" t="s">
        <v>169</v>
      </c>
      <c r="C39" s="172" t="s">
        <v>170</v>
      </c>
      <c r="E39" s="172"/>
      <c r="F39" s="172"/>
      <c r="G39" s="172"/>
      <c r="H39" s="172"/>
      <c r="I39" s="191">
        <f>I14</f>
        <v>48.620999999999995</v>
      </c>
      <c r="J39" s="172"/>
      <c r="O39" s="172"/>
    </row>
    <row r="40" spans="1:15" x14ac:dyDescent="0.25">
      <c r="A40" s="172"/>
      <c r="B40" s="192" t="s">
        <v>171</v>
      </c>
      <c r="C40" s="172" t="s">
        <v>123</v>
      </c>
      <c r="G40" t="s">
        <v>172</v>
      </c>
      <c r="I40" s="191">
        <f>+I27</f>
        <v>37.152000000000001</v>
      </c>
      <c r="O40" s="172"/>
    </row>
    <row r="41" spans="1:15" x14ac:dyDescent="0.25">
      <c r="A41" s="172"/>
      <c r="B41" s="192" t="s">
        <v>173</v>
      </c>
      <c r="C41" s="172" t="s">
        <v>174</v>
      </c>
      <c r="E41" s="172"/>
      <c r="F41" s="172"/>
      <c r="G41" s="172"/>
      <c r="H41" s="172"/>
      <c r="I41" s="191">
        <f>+I26</f>
        <v>44.870999999999995</v>
      </c>
      <c r="J41" s="172"/>
      <c r="O41" s="172"/>
    </row>
    <row r="42" spans="1:15" x14ac:dyDescent="0.25">
      <c r="A42" s="172"/>
      <c r="B42" s="172" t="s">
        <v>175</v>
      </c>
      <c r="C42" s="172" t="s">
        <v>176</v>
      </c>
      <c r="E42" s="172"/>
      <c r="F42" s="172"/>
      <c r="G42" s="172"/>
      <c r="H42" s="172"/>
      <c r="I42" s="191">
        <f>(I15+I15+0.85*I15+I17)/4</f>
        <v>49.536712499999993</v>
      </c>
      <c r="J42" s="172"/>
      <c r="O42" s="172"/>
    </row>
    <row r="43" spans="1:15" x14ac:dyDescent="0.25">
      <c r="A43" s="172"/>
      <c r="B43" s="172" t="s">
        <v>177</v>
      </c>
      <c r="C43" s="172" t="s">
        <v>178</v>
      </c>
      <c r="E43" s="172"/>
      <c r="F43" s="172"/>
      <c r="G43" s="172"/>
      <c r="H43" s="172"/>
      <c r="I43" s="191">
        <f>(3*I16+0.85*I16)/4</f>
        <v>54.163724999999992</v>
      </c>
      <c r="J43" s="172"/>
      <c r="O43" s="172"/>
    </row>
    <row r="44" spans="1:15" x14ac:dyDescent="0.25">
      <c r="A44" s="172"/>
      <c r="B44" s="193" t="s">
        <v>179</v>
      </c>
      <c r="C44" s="172" t="s">
        <v>180</v>
      </c>
      <c r="E44" s="172"/>
      <c r="F44" s="172"/>
      <c r="G44" s="172"/>
      <c r="H44" s="172"/>
      <c r="I44" s="191">
        <f>(I25+I25+I17+I19)/4</f>
        <v>56.831249999999997</v>
      </c>
      <c r="J44" s="172"/>
      <c r="O44" s="172"/>
    </row>
    <row r="45" spans="1:15" x14ac:dyDescent="0.25">
      <c r="A45" s="172"/>
      <c r="B45" s="193" t="s">
        <v>181</v>
      </c>
      <c r="C45" s="172" t="s">
        <v>182</v>
      </c>
      <c r="E45" s="172"/>
      <c r="F45" s="172"/>
      <c r="G45" s="172"/>
      <c r="H45" s="172"/>
      <c r="I45" s="191">
        <f>(I23+I23+I23+0.85*I23)/4</f>
        <v>64.648237499999993</v>
      </c>
      <c r="J45" s="172"/>
      <c r="O45" s="172"/>
    </row>
    <row r="46" spans="1:15" x14ac:dyDescent="0.25">
      <c r="A46" s="172"/>
      <c r="B46" s="172" t="s">
        <v>183</v>
      </c>
      <c r="C46" s="172" t="s">
        <v>184</v>
      </c>
      <c r="E46" s="172"/>
      <c r="F46" s="172"/>
      <c r="G46" s="172"/>
      <c r="H46" s="172"/>
      <c r="I46" s="191">
        <f>(3*I22+I22*0.85)/4</f>
        <v>58.824150000000003</v>
      </c>
      <c r="J46" s="172"/>
      <c r="O46" s="172"/>
    </row>
    <row r="47" spans="1:15" x14ac:dyDescent="0.25">
      <c r="A47" s="172"/>
      <c r="B47" s="172"/>
      <c r="C47" s="172"/>
      <c r="D47" s="172"/>
      <c r="E47" s="172"/>
      <c r="F47" s="172"/>
      <c r="G47" s="172"/>
      <c r="H47" s="172"/>
      <c r="I47" s="172"/>
      <c r="J47" s="172"/>
      <c r="K47" s="172"/>
      <c r="L47" s="172"/>
      <c r="M47" s="172"/>
      <c r="N47" s="194"/>
      <c r="O47" s="172"/>
    </row>
    <row r="48" spans="1:15" x14ac:dyDescent="0.25">
      <c r="A48" s="172"/>
      <c r="B48" s="172"/>
      <c r="C48" s="172"/>
      <c r="D48" s="172"/>
      <c r="E48" s="172"/>
      <c r="F48" s="172"/>
      <c r="G48" s="172"/>
      <c r="H48" s="172"/>
      <c r="I48" s="172"/>
      <c r="J48" s="172"/>
      <c r="K48" s="172"/>
      <c r="L48" s="172"/>
      <c r="M48" s="172"/>
      <c r="N48" s="194"/>
      <c r="O48" s="172"/>
    </row>
    <row r="49" spans="1:15" x14ac:dyDescent="0.25">
      <c r="A49" s="172"/>
      <c r="B49" s="172"/>
      <c r="C49" s="172"/>
      <c r="D49" s="172"/>
      <c r="E49" s="172"/>
      <c r="F49" s="193"/>
      <c r="G49" s="172"/>
      <c r="H49" s="172"/>
      <c r="I49" s="172"/>
      <c r="J49" s="172"/>
      <c r="K49" s="172"/>
      <c r="L49" s="172"/>
      <c r="M49" s="172"/>
      <c r="N49" s="194"/>
      <c r="O49" s="172"/>
    </row>
    <row r="50" spans="1:15" x14ac:dyDescent="0.25">
      <c r="A50" s="172"/>
      <c r="B50" s="172"/>
      <c r="C50" s="172"/>
      <c r="D50" s="172"/>
      <c r="E50" s="172"/>
      <c r="F50" s="172"/>
      <c r="G50" s="172"/>
      <c r="H50" s="172"/>
      <c r="I50" s="172"/>
      <c r="J50" s="172"/>
      <c r="K50" s="172"/>
      <c r="L50" s="172"/>
      <c r="M50" s="172"/>
      <c r="N50" s="194"/>
      <c r="O50" s="172"/>
    </row>
    <row r="51" spans="1:15" x14ac:dyDescent="0.25">
      <c r="E51" s="192"/>
      <c r="G51" s="172"/>
      <c r="N51" s="194"/>
    </row>
  </sheetData>
  <mergeCells count="14">
    <mergeCell ref="K10:K12"/>
    <mergeCell ref="C11:C12"/>
    <mergeCell ref="D11:D12"/>
    <mergeCell ref="E11:E12"/>
    <mergeCell ref="B2:I2"/>
    <mergeCell ref="B3:I3"/>
    <mergeCell ref="B4:I4"/>
    <mergeCell ref="B5:I5"/>
    <mergeCell ref="B9:I9"/>
    <mergeCell ref="C10:E10"/>
    <mergeCell ref="F10:F11"/>
    <mergeCell ref="G10:G12"/>
    <mergeCell ref="H10:H11"/>
    <mergeCell ref="I10:I12"/>
  </mergeCells>
  <phoneticPr fontId="57" type="noConversion"/>
  <pageMargins left="0.7" right="0.7" top="0.75" bottom="0.75" header="0.3" footer="0.3"/>
  <pageSetup paperSize="5" scale="72" orientation="landscape" r:id="rId1"/>
  <headerFooter>
    <oddHeader>&amp;C&amp;A&amp;R&amp;A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50"/>
  <sheetViews>
    <sheetView showGridLines="0" view="pageBreakPreview" topLeftCell="A4" zoomScale="80" zoomScaleNormal="60" zoomScaleSheetLayoutView="80" workbookViewId="0">
      <selection activeCell="H28" sqref="H28"/>
    </sheetView>
  </sheetViews>
  <sheetFormatPr defaultColWidth="8.85546875" defaultRowHeight="15" x14ac:dyDescent="0.25"/>
  <cols>
    <col min="1" max="1" width="1.7109375" style="1" customWidth="1"/>
    <col min="2" max="2" width="5.85546875" style="1" customWidth="1"/>
    <col min="3" max="3" width="29.28515625" style="1" customWidth="1"/>
    <col min="4" max="4" width="38.7109375" style="1" customWidth="1"/>
    <col min="5" max="5" width="21.7109375" style="28" customWidth="1"/>
    <col min="6" max="6" width="32.140625" style="28" customWidth="1"/>
    <col min="7" max="7" width="14.7109375" style="28" customWidth="1"/>
    <col min="8" max="8" width="9.28515625" style="28" bestFit="1" customWidth="1"/>
    <col min="9" max="9" width="17.7109375" style="28" bestFit="1" customWidth="1"/>
    <col min="10" max="10" width="12.28515625" style="1" customWidth="1"/>
    <col min="11" max="11" width="37.28515625" style="1" customWidth="1"/>
    <col min="12" max="13" width="8.85546875" style="1"/>
    <col min="14" max="14" width="10.5703125" style="1" bestFit="1" customWidth="1"/>
    <col min="15" max="16384" width="8.85546875" style="1"/>
  </cols>
  <sheetData>
    <row r="2" spans="2:14" ht="23.45" customHeight="1" x14ac:dyDescent="0.25">
      <c r="C2" s="415" t="s">
        <v>40</v>
      </c>
      <c r="D2" s="415"/>
      <c r="E2" s="415"/>
      <c r="F2" s="415"/>
      <c r="G2" s="415"/>
      <c r="H2" s="415"/>
    </row>
    <row r="3" spans="2:14" ht="23.45" customHeight="1" x14ac:dyDescent="0.25">
      <c r="C3" s="415" t="s">
        <v>39</v>
      </c>
      <c r="D3" s="415"/>
      <c r="E3" s="415"/>
      <c r="F3" s="415"/>
      <c r="G3" s="415"/>
      <c r="H3" s="415"/>
    </row>
    <row r="4" spans="2:14" ht="23.45" customHeight="1" x14ac:dyDescent="0.25">
      <c r="C4" s="415" t="s">
        <v>38</v>
      </c>
      <c r="D4" s="415"/>
      <c r="E4" s="415"/>
      <c r="F4" s="415"/>
      <c r="G4" s="415"/>
      <c r="H4" s="415"/>
    </row>
    <row r="5" spans="2:14" ht="15.75" thickBot="1" x14ac:dyDescent="0.3">
      <c r="C5" s="416"/>
      <c r="D5" s="416"/>
      <c r="E5" s="416"/>
      <c r="F5" s="416"/>
      <c r="G5" s="416"/>
      <c r="H5" s="416"/>
    </row>
    <row r="6" spans="2:14" ht="21.75" thickBot="1" x14ac:dyDescent="0.3">
      <c r="B6" s="2"/>
      <c r="C6" s="2" t="s">
        <v>37</v>
      </c>
      <c r="D6" s="2" t="s">
        <v>393</v>
      </c>
    </row>
    <row r="7" spans="2:14" ht="22.5" thickTop="1" thickBot="1" x14ac:dyDescent="0.3">
      <c r="B7" s="2"/>
      <c r="C7" s="2" t="s">
        <v>388</v>
      </c>
      <c r="D7" s="2" t="s">
        <v>392</v>
      </c>
    </row>
    <row r="8" spans="2:14" ht="6" customHeight="1" thickTop="1" thickBot="1" x14ac:dyDescent="0.3">
      <c r="C8" s="17"/>
      <c r="D8" s="16"/>
    </row>
    <row r="9" spans="2:14" ht="21.75" thickBot="1" x14ac:dyDescent="0.3">
      <c r="B9" s="2"/>
      <c r="C9" s="2"/>
      <c r="D9" s="422"/>
      <c r="E9" s="423"/>
      <c r="F9" s="423"/>
      <c r="G9" s="424"/>
      <c r="H9" s="425"/>
      <c r="I9" s="426"/>
      <c r="J9" s="15"/>
    </row>
    <row r="10" spans="2:14" ht="39.950000000000003" customHeight="1" thickTop="1" thickBot="1" x14ac:dyDescent="0.3">
      <c r="B10" s="403"/>
      <c r="C10" s="27" t="s">
        <v>36</v>
      </c>
      <c r="D10" s="427" t="s">
        <v>35</v>
      </c>
      <c r="E10" s="428"/>
      <c r="F10" s="428"/>
      <c r="G10" s="429"/>
      <c r="H10" s="420"/>
      <c r="I10" s="421"/>
      <c r="J10" s="12"/>
      <c r="L10" s="13"/>
      <c r="M10" s="28"/>
      <c r="N10" s="13"/>
    </row>
    <row r="11" spans="2:14" ht="39.950000000000003" customHeight="1" thickBot="1" x14ac:dyDescent="0.3">
      <c r="B11" s="402"/>
      <c r="C11" s="29" t="s">
        <v>34</v>
      </c>
      <c r="D11" s="430" t="s">
        <v>64</v>
      </c>
      <c r="E11" s="431"/>
      <c r="F11" s="431"/>
      <c r="G11" s="432"/>
      <c r="H11" s="433"/>
      <c r="I11" s="426"/>
      <c r="J11" s="12"/>
      <c r="L11" s="13"/>
      <c r="M11" s="28"/>
      <c r="N11" s="13"/>
    </row>
    <row r="12" spans="2:14" ht="39.950000000000003" customHeight="1" thickTop="1" thickBot="1" x14ac:dyDescent="0.3">
      <c r="B12" s="403"/>
      <c r="C12" s="30" t="s">
        <v>33</v>
      </c>
      <c r="D12" s="417" t="s">
        <v>32</v>
      </c>
      <c r="E12" s="418"/>
      <c r="F12" s="418"/>
      <c r="G12" s="419"/>
      <c r="H12" s="420">
        <f>SUM(H10:I11)</f>
        <v>0</v>
      </c>
      <c r="I12" s="421"/>
      <c r="J12" s="14"/>
      <c r="L12" s="13"/>
      <c r="M12" s="28"/>
      <c r="N12" s="13"/>
    </row>
    <row r="13" spans="2:14" ht="39.950000000000003" customHeight="1" thickBot="1" x14ac:dyDescent="0.3">
      <c r="B13" s="402"/>
      <c r="C13" s="29" t="s">
        <v>31</v>
      </c>
      <c r="D13" s="434" t="s">
        <v>30</v>
      </c>
      <c r="E13" s="435"/>
      <c r="F13" s="435"/>
      <c r="G13" s="436"/>
      <c r="H13" s="437"/>
      <c r="I13" s="438"/>
      <c r="J13" s="12"/>
      <c r="L13" s="13"/>
      <c r="M13" s="28"/>
      <c r="N13" s="13"/>
    </row>
    <row r="14" spans="2:14" ht="39.950000000000003" customHeight="1" thickTop="1" thickBot="1" x14ac:dyDescent="0.3">
      <c r="B14" s="403"/>
      <c r="C14" s="30" t="s">
        <v>29</v>
      </c>
      <c r="D14" s="427" t="s">
        <v>28</v>
      </c>
      <c r="E14" s="428"/>
      <c r="F14" s="428"/>
      <c r="G14" s="429"/>
      <c r="H14" s="439"/>
      <c r="I14" s="438"/>
      <c r="J14" s="12"/>
      <c r="L14" s="13"/>
      <c r="M14" s="28"/>
      <c r="N14" s="13"/>
    </row>
    <row r="15" spans="2:14" ht="39.950000000000003" customHeight="1" thickBot="1" x14ac:dyDescent="0.3">
      <c r="B15" s="402"/>
      <c r="C15" s="29" t="s">
        <v>27</v>
      </c>
      <c r="D15" s="434" t="s">
        <v>26</v>
      </c>
      <c r="E15" s="435"/>
      <c r="F15" s="435"/>
      <c r="G15" s="436"/>
      <c r="H15" s="437"/>
      <c r="I15" s="438"/>
      <c r="J15" s="12"/>
    </row>
    <row r="16" spans="2:14" ht="15.75" thickBot="1" x14ac:dyDescent="0.3"/>
    <row r="17" spans="2:10" ht="42.75" thickBot="1" x14ac:dyDescent="0.3">
      <c r="B17" s="3"/>
      <c r="C17" s="2" t="s">
        <v>25</v>
      </c>
      <c r="D17" s="2" t="s">
        <v>15</v>
      </c>
      <c r="E17" s="2" t="s">
        <v>22</v>
      </c>
      <c r="F17" s="2" t="s">
        <v>13</v>
      </c>
      <c r="G17" s="2" t="s">
        <v>12</v>
      </c>
      <c r="H17" s="2" t="s">
        <v>11</v>
      </c>
      <c r="I17" s="2" t="s">
        <v>10</v>
      </c>
      <c r="J17" s="2" t="s">
        <v>9</v>
      </c>
    </row>
    <row r="18" spans="2:10" ht="114" thickTop="1" thickBot="1" x14ac:dyDescent="0.3">
      <c r="B18" s="403" t="s">
        <v>395</v>
      </c>
      <c r="C18" s="8" t="s">
        <v>54</v>
      </c>
      <c r="D18" s="8" t="s">
        <v>83</v>
      </c>
      <c r="E18" s="20"/>
      <c r="F18" s="8" t="s">
        <v>84</v>
      </c>
      <c r="G18" s="7"/>
      <c r="H18" s="7">
        <v>3</v>
      </c>
      <c r="I18" s="7">
        <f t="shared" ref="I18:I24" si="0">G18*H18</f>
        <v>0</v>
      </c>
      <c r="J18" s="7">
        <f t="shared" ref="J18:J24" si="1">IF(G18=0,0,5*H18)</f>
        <v>0</v>
      </c>
    </row>
    <row r="19" spans="2:10" ht="113.25" thickBot="1" x14ac:dyDescent="0.3">
      <c r="B19" s="402" t="s">
        <v>396</v>
      </c>
      <c r="C19" s="6" t="s">
        <v>65</v>
      </c>
      <c r="D19" s="6" t="s">
        <v>86</v>
      </c>
      <c r="E19" s="22"/>
      <c r="F19" s="6" t="s">
        <v>85</v>
      </c>
      <c r="G19" s="4"/>
      <c r="H19" s="4">
        <v>3</v>
      </c>
      <c r="I19" s="4">
        <f t="shared" si="0"/>
        <v>0</v>
      </c>
      <c r="J19" s="4">
        <f t="shared" si="1"/>
        <v>0</v>
      </c>
    </row>
    <row r="20" spans="2:10" ht="126" customHeight="1" thickBot="1" x14ac:dyDescent="0.3">
      <c r="B20" s="403" t="s">
        <v>397</v>
      </c>
      <c r="C20" s="8" t="s">
        <v>53</v>
      </c>
      <c r="D20" s="8" t="s">
        <v>368</v>
      </c>
      <c r="E20" s="9"/>
      <c r="F20" s="8" t="s">
        <v>44</v>
      </c>
      <c r="G20" s="7"/>
      <c r="H20" s="7">
        <v>3</v>
      </c>
      <c r="I20" s="7">
        <f t="shared" si="0"/>
        <v>0</v>
      </c>
      <c r="J20" s="7">
        <f t="shared" si="1"/>
        <v>0</v>
      </c>
    </row>
    <row r="21" spans="2:10" ht="113.25" thickBot="1" x14ac:dyDescent="0.3">
      <c r="B21" s="402" t="s">
        <v>398</v>
      </c>
      <c r="C21" s="6" t="s">
        <v>52</v>
      </c>
      <c r="D21" s="6" t="s">
        <v>41</v>
      </c>
      <c r="E21" s="5"/>
      <c r="F21" s="6" t="s">
        <v>42</v>
      </c>
      <c r="G21" s="4"/>
      <c r="H21" s="4">
        <v>3</v>
      </c>
      <c r="I21" s="4">
        <f t="shared" si="0"/>
        <v>0</v>
      </c>
      <c r="J21" s="4">
        <f t="shared" si="1"/>
        <v>0</v>
      </c>
    </row>
    <row r="22" spans="2:10" ht="121.9" customHeight="1" thickBot="1" x14ac:dyDescent="0.3">
      <c r="B22" s="403" t="s">
        <v>399</v>
      </c>
      <c r="C22" s="8" t="s">
        <v>66</v>
      </c>
      <c r="D22" s="8" t="s">
        <v>96</v>
      </c>
      <c r="E22" s="9"/>
      <c r="F22" s="8" t="s">
        <v>45</v>
      </c>
      <c r="G22" s="7"/>
      <c r="H22" s="7">
        <v>2</v>
      </c>
      <c r="I22" s="7">
        <f t="shared" si="0"/>
        <v>0</v>
      </c>
      <c r="J22" s="7">
        <f t="shared" si="1"/>
        <v>0</v>
      </c>
    </row>
    <row r="23" spans="2:10" ht="97.15" customHeight="1" thickBot="1" x14ac:dyDescent="0.3">
      <c r="B23" s="402" t="s">
        <v>400</v>
      </c>
      <c r="C23" s="6" t="s">
        <v>51</v>
      </c>
      <c r="D23" s="6" t="s">
        <v>369</v>
      </c>
      <c r="E23" s="394"/>
      <c r="F23" s="6" t="s">
        <v>370</v>
      </c>
      <c r="G23" s="4"/>
      <c r="H23" s="4">
        <v>2</v>
      </c>
      <c r="I23" s="4">
        <f>G23*H23</f>
        <v>0</v>
      </c>
      <c r="J23" s="4">
        <f>IF(G23=0,0,5*H23)</f>
        <v>0</v>
      </c>
    </row>
    <row r="24" spans="2:10" ht="57" thickBot="1" x14ac:dyDescent="0.3">
      <c r="B24" s="403"/>
      <c r="C24" s="8" t="s">
        <v>2</v>
      </c>
      <c r="D24" s="8" t="s">
        <v>1</v>
      </c>
      <c r="E24" s="7" t="s">
        <v>1</v>
      </c>
      <c r="F24" s="7" t="s">
        <v>1</v>
      </c>
      <c r="G24" s="7">
        <v>0</v>
      </c>
      <c r="H24" s="7"/>
      <c r="I24" s="7">
        <f t="shared" si="0"/>
        <v>0</v>
      </c>
      <c r="J24" s="7">
        <f t="shared" si="1"/>
        <v>0</v>
      </c>
    </row>
    <row r="25" spans="2:10" ht="21.75" thickBot="1" x14ac:dyDescent="0.3">
      <c r="B25" s="3"/>
      <c r="C25" s="11" t="s">
        <v>24</v>
      </c>
      <c r="D25" s="11"/>
      <c r="E25" s="10"/>
      <c r="F25" s="11"/>
      <c r="G25" s="10"/>
      <c r="H25" s="10"/>
      <c r="I25" s="10">
        <f>SUM(I18:I24)</f>
        <v>0</v>
      </c>
      <c r="J25" s="10">
        <f>SUM(J18:J24)</f>
        <v>0</v>
      </c>
    </row>
    <row r="26" spans="2:10" ht="16.5" thickTop="1" thickBot="1" x14ac:dyDescent="0.3"/>
    <row r="27" spans="2:10" ht="42.75" thickBot="1" x14ac:dyDescent="0.3">
      <c r="B27" s="3"/>
      <c r="C27" s="2" t="s">
        <v>23</v>
      </c>
      <c r="D27" s="2" t="s">
        <v>15</v>
      </c>
      <c r="E27" s="2" t="s">
        <v>22</v>
      </c>
      <c r="F27" s="2" t="s">
        <v>13</v>
      </c>
      <c r="G27" s="2" t="s">
        <v>12</v>
      </c>
      <c r="H27" s="2" t="s">
        <v>11</v>
      </c>
      <c r="I27" s="2" t="s">
        <v>10</v>
      </c>
      <c r="J27" s="2" t="s">
        <v>9</v>
      </c>
    </row>
    <row r="28" spans="2:10" ht="114" thickTop="1" thickBot="1" x14ac:dyDescent="0.3">
      <c r="B28" s="402" t="s">
        <v>401</v>
      </c>
      <c r="C28" s="6" t="s">
        <v>21</v>
      </c>
      <c r="D28" s="6" t="s">
        <v>100</v>
      </c>
      <c r="E28" s="18"/>
      <c r="F28" s="6" t="s">
        <v>20</v>
      </c>
      <c r="G28" s="4"/>
      <c r="H28" s="4">
        <v>3</v>
      </c>
      <c r="I28" s="4">
        <f t="shared" ref="I28:I35" si="2">G28*H28</f>
        <v>0</v>
      </c>
      <c r="J28" s="24">
        <f t="shared" ref="J28:J35" si="3">IF(G28=0,0,5*H28)</f>
        <v>0</v>
      </c>
    </row>
    <row r="29" spans="2:10" ht="113.25" thickBot="1" x14ac:dyDescent="0.3">
      <c r="B29" s="403" t="s">
        <v>402</v>
      </c>
      <c r="C29" s="8" t="s">
        <v>19</v>
      </c>
      <c r="D29" s="8" t="s">
        <v>63</v>
      </c>
      <c r="E29" s="9"/>
      <c r="F29" s="8" t="s">
        <v>89</v>
      </c>
      <c r="G29" s="7"/>
      <c r="H29" s="7">
        <v>3</v>
      </c>
      <c r="I29" s="7">
        <f t="shared" si="2"/>
        <v>0</v>
      </c>
      <c r="J29" s="7">
        <f t="shared" si="3"/>
        <v>0</v>
      </c>
    </row>
    <row r="30" spans="2:10" ht="114" thickTop="1" thickBot="1" x14ac:dyDescent="0.3">
      <c r="B30" s="402" t="s">
        <v>403</v>
      </c>
      <c r="C30" s="6" t="s">
        <v>50</v>
      </c>
      <c r="D30" s="6" t="s">
        <v>381</v>
      </c>
      <c r="E30" s="18"/>
      <c r="F30" s="378" t="s">
        <v>385</v>
      </c>
      <c r="G30" s="4"/>
      <c r="H30" s="4">
        <v>3</v>
      </c>
      <c r="I30" s="4">
        <f t="shared" si="2"/>
        <v>0</v>
      </c>
      <c r="J30" s="24">
        <f t="shared" si="3"/>
        <v>0</v>
      </c>
    </row>
    <row r="31" spans="2:10" ht="113.25" thickBot="1" x14ac:dyDescent="0.3">
      <c r="B31" s="403" t="s">
        <v>404</v>
      </c>
      <c r="C31" s="8" t="s">
        <v>49</v>
      </c>
      <c r="D31" s="8" t="s">
        <v>386</v>
      </c>
      <c r="E31" s="19"/>
      <c r="F31" s="379" t="s">
        <v>387</v>
      </c>
      <c r="G31" s="7"/>
      <c r="H31" s="7">
        <v>2</v>
      </c>
      <c r="I31" s="7">
        <f t="shared" si="2"/>
        <v>0</v>
      </c>
      <c r="J31" s="7">
        <f t="shared" si="3"/>
        <v>0</v>
      </c>
    </row>
    <row r="32" spans="2:10" ht="113.25" thickBot="1" x14ac:dyDescent="0.3">
      <c r="B32" s="402" t="s">
        <v>405</v>
      </c>
      <c r="C32" s="6" t="s">
        <v>48</v>
      </c>
      <c r="D32" s="6" t="s">
        <v>371</v>
      </c>
      <c r="E32" s="25"/>
      <c r="F32" s="6" t="s">
        <v>90</v>
      </c>
      <c r="G32" s="4"/>
      <c r="H32" s="4">
        <v>2</v>
      </c>
      <c r="I32" s="4">
        <f t="shared" si="2"/>
        <v>0</v>
      </c>
      <c r="J32" s="4">
        <f t="shared" si="3"/>
        <v>0</v>
      </c>
    </row>
    <row r="33" spans="2:10" ht="113.25" thickBot="1" x14ac:dyDescent="0.3">
      <c r="B33" s="403" t="s">
        <v>406</v>
      </c>
      <c r="C33" s="8" t="s">
        <v>47</v>
      </c>
      <c r="D33" s="8" t="s">
        <v>91</v>
      </c>
      <c r="E33" s="19"/>
      <c r="F33" s="8" t="s">
        <v>92</v>
      </c>
      <c r="G33" s="7"/>
      <c r="H33" s="7">
        <v>2</v>
      </c>
      <c r="I33" s="7">
        <f t="shared" si="2"/>
        <v>0</v>
      </c>
      <c r="J33" s="7">
        <f t="shared" si="3"/>
        <v>0</v>
      </c>
    </row>
    <row r="34" spans="2:10" ht="116.25" customHeight="1" thickBot="1" x14ac:dyDescent="0.3">
      <c r="B34" s="402" t="s">
        <v>407</v>
      </c>
      <c r="C34" s="6" t="s">
        <v>46</v>
      </c>
      <c r="D34" s="6" t="s">
        <v>97</v>
      </c>
      <c r="E34" s="4"/>
      <c r="F34" s="6" t="s">
        <v>60</v>
      </c>
      <c r="G34" s="4"/>
      <c r="H34" s="4">
        <v>1</v>
      </c>
      <c r="I34" s="4">
        <f t="shared" si="2"/>
        <v>0</v>
      </c>
      <c r="J34" s="4">
        <f t="shared" si="3"/>
        <v>0</v>
      </c>
    </row>
    <row r="35" spans="2:10" ht="82.5" customHeight="1" thickBot="1" x14ac:dyDescent="0.3">
      <c r="B35" s="403"/>
      <c r="C35" s="8" t="s">
        <v>2</v>
      </c>
      <c r="D35" s="8" t="s">
        <v>1</v>
      </c>
      <c r="E35" s="7" t="s">
        <v>1</v>
      </c>
      <c r="F35" s="7" t="s">
        <v>1</v>
      </c>
      <c r="G35" s="7">
        <v>0</v>
      </c>
      <c r="H35" s="7"/>
      <c r="I35" s="7">
        <f t="shared" si="2"/>
        <v>0</v>
      </c>
      <c r="J35" s="7">
        <f t="shared" si="3"/>
        <v>0</v>
      </c>
    </row>
    <row r="36" spans="2:10" ht="21.75" thickBot="1" x14ac:dyDescent="0.3">
      <c r="B36" s="3"/>
      <c r="C36" s="3" t="s">
        <v>17</v>
      </c>
      <c r="D36" s="3"/>
      <c r="E36" s="2"/>
      <c r="F36" s="2"/>
      <c r="G36" s="2"/>
      <c r="H36" s="2"/>
      <c r="I36" s="2">
        <f>SUM(I28:I35)</f>
        <v>0</v>
      </c>
      <c r="J36" s="2">
        <f>SUM(J28:J35)</f>
        <v>0</v>
      </c>
    </row>
    <row r="37" spans="2:10" ht="16.5" thickTop="1" thickBot="1" x14ac:dyDescent="0.3"/>
    <row r="38" spans="2:10" ht="42.75" thickBot="1" x14ac:dyDescent="0.3">
      <c r="B38" s="3"/>
      <c r="C38" s="2" t="s">
        <v>16</v>
      </c>
      <c r="D38" s="2" t="s">
        <v>15</v>
      </c>
      <c r="E38" s="2" t="s">
        <v>14</v>
      </c>
      <c r="F38" s="2" t="s">
        <v>13</v>
      </c>
      <c r="G38" s="2" t="s">
        <v>12</v>
      </c>
      <c r="H38" s="2" t="s">
        <v>11</v>
      </c>
      <c r="I38" s="2" t="s">
        <v>10</v>
      </c>
      <c r="J38" s="2" t="s">
        <v>9</v>
      </c>
    </row>
    <row r="39" spans="2:10" ht="132.75" thickTop="1" thickBot="1" x14ac:dyDescent="0.3">
      <c r="B39" s="402" t="s">
        <v>408</v>
      </c>
      <c r="C39" s="6" t="s">
        <v>8</v>
      </c>
      <c r="D39" s="6" t="s">
        <v>382</v>
      </c>
      <c r="E39" s="18"/>
      <c r="F39" s="378" t="s">
        <v>389</v>
      </c>
      <c r="G39" s="4"/>
      <c r="H39" s="4">
        <v>3</v>
      </c>
      <c r="I39" s="4">
        <f t="shared" ref="I39:I48" si="4">G39*H39</f>
        <v>0</v>
      </c>
      <c r="J39" s="4">
        <f t="shared" ref="J39:J48" si="5">IF(G39=0,0,5*H39)</f>
        <v>0</v>
      </c>
    </row>
    <row r="40" spans="2:10" ht="132" thickBot="1" x14ac:dyDescent="0.3">
      <c r="B40" s="403" t="s">
        <v>409</v>
      </c>
      <c r="C40" s="8" t="s">
        <v>7</v>
      </c>
      <c r="D40" s="8" t="s">
        <v>55</v>
      </c>
      <c r="E40" s="9"/>
      <c r="F40" s="379" t="s">
        <v>93</v>
      </c>
      <c r="G40" s="7"/>
      <c r="H40" s="7">
        <v>3</v>
      </c>
      <c r="I40" s="7">
        <f t="shared" si="4"/>
        <v>0</v>
      </c>
      <c r="J40" s="7">
        <f t="shared" si="5"/>
        <v>0</v>
      </c>
    </row>
    <row r="41" spans="2:10" ht="115.5" customHeight="1" thickBot="1" x14ac:dyDescent="0.3">
      <c r="B41" s="402" t="s">
        <v>410</v>
      </c>
      <c r="C41" s="6" t="s">
        <v>56</v>
      </c>
      <c r="D41" s="6" t="s">
        <v>57</v>
      </c>
      <c r="E41" s="18"/>
      <c r="F41" s="6" t="s">
        <v>58</v>
      </c>
      <c r="G41" s="4"/>
      <c r="H41" s="4">
        <v>2</v>
      </c>
      <c r="I41" s="4">
        <f t="shared" si="4"/>
        <v>0</v>
      </c>
      <c r="J41" s="4">
        <f t="shared" si="5"/>
        <v>0</v>
      </c>
    </row>
    <row r="42" spans="2:10" ht="78" customHeight="1" thickBot="1" x14ac:dyDescent="0.3">
      <c r="B42" s="403" t="s">
        <v>411</v>
      </c>
      <c r="C42" s="8" t="s">
        <v>6</v>
      </c>
      <c r="D42" s="8" t="s">
        <v>383</v>
      </c>
      <c r="E42" s="9"/>
      <c r="F42" s="8" t="s">
        <v>384</v>
      </c>
      <c r="G42" s="7"/>
      <c r="H42" s="7">
        <v>2</v>
      </c>
      <c r="I42" s="7">
        <f t="shared" si="4"/>
        <v>0</v>
      </c>
      <c r="J42" s="7">
        <f t="shared" si="5"/>
        <v>0</v>
      </c>
    </row>
    <row r="43" spans="2:10" ht="113.25" thickBot="1" x14ac:dyDescent="0.3">
      <c r="B43" s="402" t="s">
        <v>413</v>
      </c>
      <c r="C43" s="6" t="s">
        <v>71</v>
      </c>
      <c r="D43" s="6" t="s">
        <v>99</v>
      </c>
      <c r="E43" s="5"/>
      <c r="F43" s="6" t="s">
        <v>67</v>
      </c>
      <c r="G43" s="4"/>
      <c r="H43" s="4">
        <v>2</v>
      </c>
      <c r="I43" s="4">
        <f t="shared" si="4"/>
        <v>0</v>
      </c>
      <c r="J43" s="4">
        <f t="shared" si="5"/>
        <v>0</v>
      </c>
    </row>
    <row r="44" spans="2:10" ht="95.25" thickTop="1" thickBot="1" x14ac:dyDescent="0.3">
      <c r="B44" s="403" t="s">
        <v>412</v>
      </c>
      <c r="C44" s="8" t="s">
        <v>70</v>
      </c>
      <c r="D44" s="8" t="s">
        <v>5</v>
      </c>
      <c r="E44" s="9"/>
      <c r="F44" s="21" t="s">
        <v>61</v>
      </c>
      <c r="G44" s="7"/>
      <c r="H44" s="7">
        <v>1</v>
      </c>
      <c r="I44" s="7">
        <f t="shared" si="4"/>
        <v>0</v>
      </c>
      <c r="J44" s="7">
        <f t="shared" si="5"/>
        <v>0</v>
      </c>
    </row>
    <row r="45" spans="2:10" ht="174" customHeight="1" thickBot="1" x14ac:dyDescent="0.3">
      <c r="B45" s="402" t="s">
        <v>414</v>
      </c>
      <c r="C45" s="6" t="s">
        <v>4</v>
      </c>
      <c r="D45" s="6" t="s">
        <v>367</v>
      </c>
      <c r="E45" s="25"/>
      <c r="F45" s="6" t="s">
        <v>62</v>
      </c>
      <c r="G45" s="4"/>
      <c r="H45" s="4">
        <v>1</v>
      </c>
      <c r="I45" s="4">
        <f t="shared" si="4"/>
        <v>0</v>
      </c>
      <c r="J45" s="4">
        <f t="shared" si="5"/>
        <v>0</v>
      </c>
    </row>
    <row r="46" spans="2:10" ht="132" thickBot="1" x14ac:dyDescent="0.3">
      <c r="B46" s="403" t="s">
        <v>415</v>
      </c>
      <c r="C46" s="8" t="s">
        <v>69</v>
      </c>
      <c r="D46" s="8" t="s">
        <v>59</v>
      </c>
      <c r="E46" s="19"/>
      <c r="F46" s="8" t="s">
        <v>94</v>
      </c>
      <c r="G46" s="7"/>
      <c r="H46" s="7">
        <v>1</v>
      </c>
      <c r="I46" s="7">
        <f t="shared" si="4"/>
        <v>0</v>
      </c>
      <c r="J46" s="7">
        <f t="shared" si="5"/>
        <v>0</v>
      </c>
    </row>
    <row r="47" spans="2:10" ht="135" customHeight="1" thickBot="1" x14ac:dyDescent="0.3">
      <c r="B47" s="402" t="s">
        <v>416</v>
      </c>
      <c r="C47" s="6" t="s">
        <v>68</v>
      </c>
      <c r="D47" s="6" t="s">
        <v>98</v>
      </c>
      <c r="E47" s="5"/>
      <c r="F47" s="6" t="s">
        <v>95</v>
      </c>
      <c r="G47" s="4"/>
      <c r="H47" s="4">
        <v>1</v>
      </c>
      <c r="I47" s="4">
        <f t="shared" si="4"/>
        <v>0</v>
      </c>
      <c r="J47" s="4">
        <f t="shared" si="5"/>
        <v>0</v>
      </c>
    </row>
    <row r="48" spans="2:10" ht="57.75" thickTop="1" thickBot="1" x14ac:dyDescent="0.3">
      <c r="B48" s="403"/>
      <c r="C48" s="8" t="s">
        <v>2</v>
      </c>
      <c r="D48" s="8" t="s">
        <v>1</v>
      </c>
      <c r="E48" s="9" t="s">
        <v>1</v>
      </c>
      <c r="F48" s="21" t="s">
        <v>1</v>
      </c>
      <c r="G48" s="7">
        <v>0</v>
      </c>
      <c r="H48" s="7"/>
      <c r="I48" s="7">
        <f t="shared" si="4"/>
        <v>0</v>
      </c>
      <c r="J48" s="7">
        <f t="shared" si="5"/>
        <v>0</v>
      </c>
    </row>
    <row r="49" spans="2:10" ht="42.75" thickBot="1" x14ac:dyDescent="0.3">
      <c r="B49" s="3"/>
      <c r="C49" s="3" t="s">
        <v>0</v>
      </c>
      <c r="D49" s="3"/>
      <c r="E49" s="2"/>
      <c r="F49" s="2"/>
      <c r="G49" s="2"/>
      <c r="H49" s="2"/>
      <c r="I49" s="2">
        <f>SUM(I39:I48)</f>
        <v>0</v>
      </c>
      <c r="J49" s="2">
        <f>SUM(J39:J48)</f>
        <v>0</v>
      </c>
    </row>
    <row r="50" spans="2:10" ht="15.75" thickTop="1" x14ac:dyDescent="0.25"/>
  </sheetData>
  <mergeCells count="18">
    <mergeCell ref="D15:G15"/>
    <mergeCell ref="H15:I15"/>
    <mergeCell ref="D13:G13"/>
    <mergeCell ref="H13:I13"/>
    <mergeCell ref="D14:G14"/>
    <mergeCell ref="H14:I14"/>
    <mergeCell ref="C2:H2"/>
    <mergeCell ref="C3:H3"/>
    <mergeCell ref="C4:H4"/>
    <mergeCell ref="C5:H5"/>
    <mergeCell ref="D12:G12"/>
    <mergeCell ref="H12:I12"/>
    <mergeCell ref="D9:G9"/>
    <mergeCell ref="H9:I9"/>
    <mergeCell ref="D10:G10"/>
    <mergeCell ref="H10:I10"/>
    <mergeCell ref="D11:G11"/>
    <mergeCell ref="H11:I11"/>
  </mergeCells>
  <phoneticPr fontId="57" type="noConversion"/>
  <pageMargins left="0.7" right="0.53" top="0.75" bottom="0.75" header="0.3" footer="0.3"/>
  <pageSetup scale="46" orientation="portrait" horizontalDpi="300" verticalDpi="300" r:id="rId1"/>
  <headerFooter>
    <oddFooter>Page &amp;P</oddFooter>
  </headerFooter>
  <rowBreaks count="2" manualBreakCount="2">
    <brk id="26" max="16383" man="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50"/>
  <sheetViews>
    <sheetView showGridLines="0" view="pageBreakPreview" zoomScale="80" zoomScaleNormal="60" zoomScaleSheetLayoutView="80" workbookViewId="0">
      <selection activeCell="B1" sqref="B1:B65536"/>
    </sheetView>
  </sheetViews>
  <sheetFormatPr defaultColWidth="8.85546875" defaultRowHeight="15" x14ac:dyDescent="0.25"/>
  <cols>
    <col min="1" max="1" width="1.7109375" style="1" customWidth="1"/>
    <col min="2" max="2" width="5.85546875" style="1" customWidth="1"/>
    <col min="3" max="3" width="29.28515625" style="1" customWidth="1"/>
    <col min="4" max="4" width="38.7109375" style="1" customWidth="1"/>
    <col min="5" max="5" width="21.7109375" style="28" customWidth="1"/>
    <col min="6" max="6" width="32.140625" style="28" customWidth="1"/>
    <col min="7" max="7" width="14.7109375" style="28" customWidth="1"/>
    <col min="8" max="8" width="9.28515625" style="28" bestFit="1" customWidth="1"/>
    <col min="9" max="9" width="17.7109375" style="28" bestFit="1" customWidth="1"/>
    <col min="10" max="10" width="12.28515625" style="1" customWidth="1"/>
    <col min="11" max="11" width="37.28515625" style="1" customWidth="1"/>
    <col min="12" max="13" width="8.85546875" style="1"/>
    <col min="14" max="14" width="10.5703125" style="1" bestFit="1" customWidth="1"/>
    <col min="15" max="16384" width="8.85546875" style="1"/>
  </cols>
  <sheetData>
    <row r="2" spans="2:14" ht="23.45" customHeight="1" x14ac:dyDescent="0.25">
      <c r="C2" s="415" t="s">
        <v>40</v>
      </c>
      <c r="D2" s="415"/>
      <c r="E2" s="415"/>
      <c r="F2" s="415"/>
      <c r="G2" s="415"/>
      <c r="H2" s="415"/>
    </row>
    <row r="3" spans="2:14" ht="23.45" customHeight="1" x14ac:dyDescent="0.25">
      <c r="C3" s="415" t="s">
        <v>39</v>
      </c>
      <c r="D3" s="415"/>
      <c r="E3" s="415"/>
      <c r="F3" s="415"/>
      <c r="G3" s="415"/>
      <c r="H3" s="415"/>
    </row>
    <row r="4" spans="2:14" ht="23.45" customHeight="1" x14ac:dyDescent="0.25">
      <c r="C4" s="415" t="s">
        <v>38</v>
      </c>
      <c r="D4" s="415"/>
      <c r="E4" s="415"/>
      <c r="F4" s="415"/>
      <c r="G4" s="415"/>
      <c r="H4" s="415"/>
    </row>
    <row r="5" spans="2:14" ht="15.75" thickBot="1" x14ac:dyDescent="0.3">
      <c r="C5" s="416"/>
      <c r="D5" s="416"/>
      <c r="E5" s="416"/>
      <c r="F5" s="416"/>
      <c r="G5" s="416"/>
      <c r="H5" s="416"/>
    </row>
    <row r="6" spans="2:14" ht="21.75" thickBot="1" x14ac:dyDescent="0.3">
      <c r="B6" s="2"/>
      <c r="C6" s="2" t="s">
        <v>37</v>
      </c>
      <c r="D6" s="2" t="s">
        <v>394</v>
      </c>
    </row>
    <row r="7" spans="2:14" ht="22.5" thickTop="1" thickBot="1" x14ac:dyDescent="0.3">
      <c r="B7" s="2"/>
      <c r="C7" s="2" t="s">
        <v>72</v>
      </c>
      <c r="D7" s="2" t="s">
        <v>392</v>
      </c>
    </row>
    <row r="8" spans="2:14" ht="6" customHeight="1" thickTop="1" thickBot="1" x14ac:dyDescent="0.3">
      <c r="C8" s="17"/>
      <c r="D8" s="16"/>
    </row>
    <row r="9" spans="2:14" ht="21.75" thickBot="1" x14ac:dyDescent="0.3">
      <c r="B9" s="2"/>
      <c r="C9" s="2"/>
      <c r="D9" s="422"/>
      <c r="E9" s="423"/>
      <c r="F9" s="423"/>
      <c r="G9" s="424"/>
      <c r="H9" s="425"/>
      <c r="I9" s="426"/>
      <c r="J9" s="15"/>
    </row>
    <row r="10" spans="2:14" ht="39.950000000000003" customHeight="1" thickTop="1" thickBot="1" x14ac:dyDescent="0.3">
      <c r="B10" s="403"/>
      <c r="C10" s="27" t="s">
        <v>36</v>
      </c>
      <c r="D10" s="427" t="s">
        <v>35</v>
      </c>
      <c r="E10" s="428"/>
      <c r="F10" s="428"/>
      <c r="G10" s="429"/>
      <c r="H10" s="420"/>
      <c r="I10" s="421"/>
      <c r="J10" s="12"/>
      <c r="L10" s="13"/>
      <c r="M10" s="28"/>
      <c r="N10" s="13"/>
    </row>
    <row r="11" spans="2:14" ht="39.950000000000003" customHeight="1" thickBot="1" x14ac:dyDescent="0.3">
      <c r="B11" s="402"/>
      <c r="C11" s="29" t="s">
        <v>34</v>
      </c>
      <c r="D11" s="430" t="s">
        <v>64</v>
      </c>
      <c r="E11" s="431"/>
      <c r="F11" s="431"/>
      <c r="G11" s="432"/>
      <c r="H11" s="433"/>
      <c r="I11" s="426"/>
      <c r="J11" s="12"/>
      <c r="L11" s="13"/>
      <c r="M11" s="28"/>
      <c r="N11" s="13"/>
    </row>
    <row r="12" spans="2:14" ht="39.950000000000003" customHeight="1" thickTop="1" thickBot="1" x14ac:dyDescent="0.3">
      <c r="B12" s="403"/>
      <c r="C12" s="30" t="s">
        <v>33</v>
      </c>
      <c r="D12" s="417" t="s">
        <v>32</v>
      </c>
      <c r="E12" s="418"/>
      <c r="F12" s="418"/>
      <c r="G12" s="419"/>
      <c r="H12" s="420">
        <f>SUM(H10:I11)</f>
        <v>0</v>
      </c>
      <c r="I12" s="421"/>
      <c r="J12" s="14"/>
      <c r="L12" s="13"/>
      <c r="M12" s="28"/>
      <c r="N12" s="13"/>
    </row>
    <row r="13" spans="2:14" ht="39.950000000000003" customHeight="1" thickBot="1" x14ac:dyDescent="0.3">
      <c r="B13" s="402"/>
      <c r="C13" s="29" t="s">
        <v>31</v>
      </c>
      <c r="D13" s="434" t="s">
        <v>30</v>
      </c>
      <c r="E13" s="435"/>
      <c r="F13" s="435"/>
      <c r="G13" s="436"/>
      <c r="H13" s="440"/>
      <c r="I13" s="441"/>
      <c r="J13" s="12"/>
      <c r="L13" s="13"/>
      <c r="M13" s="28"/>
      <c r="N13" s="13"/>
    </row>
    <row r="14" spans="2:14" ht="39.950000000000003" customHeight="1" thickTop="1" thickBot="1" x14ac:dyDescent="0.3">
      <c r="B14" s="403"/>
      <c r="C14" s="30" t="s">
        <v>29</v>
      </c>
      <c r="D14" s="427" t="s">
        <v>28</v>
      </c>
      <c r="E14" s="428"/>
      <c r="F14" s="428"/>
      <c r="G14" s="429"/>
      <c r="H14" s="439"/>
      <c r="I14" s="438"/>
      <c r="J14" s="12"/>
      <c r="L14" s="13"/>
      <c r="M14" s="28"/>
      <c r="N14" s="13"/>
    </row>
    <row r="15" spans="2:14" ht="39.950000000000003" customHeight="1" thickBot="1" x14ac:dyDescent="0.3">
      <c r="B15" s="402"/>
      <c r="C15" s="29" t="s">
        <v>27</v>
      </c>
      <c r="D15" s="434" t="s">
        <v>26</v>
      </c>
      <c r="E15" s="435"/>
      <c r="F15" s="435"/>
      <c r="G15" s="436"/>
      <c r="H15" s="437"/>
      <c r="I15" s="438"/>
      <c r="J15" s="12"/>
    </row>
    <row r="16" spans="2:14" ht="15.75" thickBot="1" x14ac:dyDescent="0.3"/>
    <row r="17" spans="2:11" ht="42.75" thickBot="1" x14ac:dyDescent="0.3">
      <c r="B17" s="3"/>
      <c r="C17" s="2" t="s">
        <v>25</v>
      </c>
      <c r="D17" s="2" t="s">
        <v>15</v>
      </c>
      <c r="E17" s="2" t="s">
        <v>22</v>
      </c>
      <c r="F17" s="2" t="s">
        <v>13</v>
      </c>
      <c r="G17" s="2" t="s">
        <v>12</v>
      </c>
      <c r="H17" s="2" t="s">
        <v>11</v>
      </c>
      <c r="I17" s="2" t="s">
        <v>10</v>
      </c>
      <c r="J17" s="2" t="s">
        <v>9</v>
      </c>
    </row>
    <row r="18" spans="2:11" ht="114" thickTop="1" thickBot="1" x14ac:dyDescent="0.3">
      <c r="B18" s="403" t="s">
        <v>395</v>
      </c>
      <c r="C18" s="8" t="s">
        <v>54</v>
      </c>
      <c r="D18" s="8" t="s">
        <v>83</v>
      </c>
      <c r="E18" s="20"/>
      <c r="F18" s="8" t="s">
        <v>84</v>
      </c>
      <c r="G18" s="7"/>
      <c r="H18" s="7">
        <v>3</v>
      </c>
      <c r="I18" s="7">
        <f t="shared" ref="I18:I24" si="0">G18*H18</f>
        <v>0</v>
      </c>
      <c r="J18" s="7">
        <f t="shared" ref="J18:J24" si="1">IF(G18=0,0,5*H18)</f>
        <v>0</v>
      </c>
    </row>
    <row r="19" spans="2:11" ht="113.25" thickBot="1" x14ac:dyDescent="0.3">
      <c r="B19" s="402" t="s">
        <v>396</v>
      </c>
      <c r="C19" s="6" t="s">
        <v>65</v>
      </c>
      <c r="D19" s="6" t="s">
        <v>86</v>
      </c>
      <c r="E19" s="22"/>
      <c r="F19" s="6" t="s">
        <v>85</v>
      </c>
      <c r="G19" s="4"/>
      <c r="H19" s="4">
        <v>3</v>
      </c>
      <c r="I19" s="4">
        <f t="shared" si="0"/>
        <v>0</v>
      </c>
      <c r="J19" s="4">
        <f t="shared" si="1"/>
        <v>0</v>
      </c>
    </row>
    <row r="20" spans="2:11" ht="126" customHeight="1" thickBot="1" x14ac:dyDescent="0.3">
      <c r="B20" s="403" t="s">
        <v>397</v>
      </c>
      <c r="C20" s="8" t="s">
        <v>53</v>
      </c>
      <c r="D20" s="8" t="s">
        <v>43</v>
      </c>
      <c r="E20" s="9"/>
      <c r="F20" s="8" t="s">
        <v>44</v>
      </c>
      <c r="G20" s="7"/>
      <c r="H20" s="7">
        <v>3</v>
      </c>
      <c r="I20" s="7">
        <f t="shared" si="0"/>
        <v>0</v>
      </c>
      <c r="J20" s="7">
        <f t="shared" si="1"/>
        <v>0</v>
      </c>
    </row>
    <row r="21" spans="2:11" ht="113.25" thickBot="1" x14ac:dyDescent="0.3">
      <c r="B21" s="402" t="s">
        <v>398</v>
      </c>
      <c r="C21" s="6" t="s">
        <v>52</v>
      </c>
      <c r="D21" s="6" t="s">
        <v>41</v>
      </c>
      <c r="E21" s="5"/>
      <c r="F21" s="6" t="s">
        <v>42</v>
      </c>
      <c r="G21" s="4"/>
      <c r="H21" s="4">
        <v>3</v>
      </c>
      <c r="I21" s="4">
        <f t="shared" si="0"/>
        <v>0</v>
      </c>
      <c r="J21" s="4">
        <f t="shared" si="1"/>
        <v>0</v>
      </c>
    </row>
    <row r="22" spans="2:11" ht="121.9" customHeight="1" thickBot="1" x14ac:dyDescent="0.3">
      <c r="B22" s="403" t="s">
        <v>399</v>
      </c>
      <c r="C22" s="8" t="s">
        <v>66</v>
      </c>
      <c r="D22" s="8" t="s">
        <v>96</v>
      </c>
      <c r="E22" s="9"/>
      <c r="F22" s="8" t="s">
        <v>45</v>
      </c>
      <c r="G22" s="7"/>
      <c r="H22" s="7">
        <v>2</v>
      </c>
      <c r="I22" s="7">
        <f t="shared" si="0"/>
        <v>0</v>
      </c>
      <c r="J22" s="7">
        <f t="shared" si="1"/>
        <v>0</v>
      </c>
    </row>
    <row r="23" spans="2:11" ht="97.15" customHeight="1" thickBot="1" x14ac:dyDescent="0.3">
      <c r="B23" s="402" t="s">
        <v>400</v>
      </c>
      <c r="C23" s="6" t="s">
        <v>51</v>
      </c>
      <c r="D23" s="6" t="s">
        <v>88</v>
      </c>
      <c r="E23" s="23"/>
      <c r="F23" s="6" t="s">
        <v>87</v>
      </c>
      <c r="G23" s="4"/>
      <c r="H23" s="4">
        <v>2</v>
      </c>
      <c r="I23" s="4">
        <f t="shared" si="0"/>
        <v>0</v>
      </c>
      <c r="J23" s="4">
        <f t="shared" si="1"/>
        <v>0</v>
      </c>
    </row>
    <row r="24" spans="2:11" ht="57" thickBot="1" x14ac:dyDescent="0.3">
      <c r="B24" s="403"/>
      <c r="C24" s="8" t="s">
        <v>2</v>
      </c>
      <c r="D24" s="8" t="s">
        <v>1</v>
      </c>
      <c r="E24" s="7" t="s">
        <v>1</v>
      </c>
      <c r="F24" s="7" t="s">
        <v>1</v>
      </c>
      <c r="G24" s="7">
        <v>0</v>
      </c>
      <c r="H24" s="7"/>
      <c r="I24" s="7">
        <f t="shared" si="0"/>
        <v>0</v>
      </c>
      <c r="J24" s="7">
        <f t="shared" si="1"/>
        <v>0</v>
      </c>
    </row>
    <row r="25" spans="2:11" ht="21.75" thickBot="1" x14ac:dyDescent="0.3">
      <c r="B25" s="3"/>
      <c r="C25" s="11" t="s">
        <v>24</v>
      </c>
      <c r="D25" s="11"/>
      <c r="E25" s="10"/>
      <c r="F25" s="11"/>
      <c r="G25" s="10"/>
      <c r="H25" s="10"/>
      <c r="I25" s="10">
        <f>SUM(I18:I24)</f>
        <v>0</v>
      </c>
      <c r="J25" s="10">
        <f>SUM(J18:J24)</f>
        <v>0</v>
      </c>
    </row>
    <row r="26" spans="2:11" ht="16.5" thickTop="1" thickBot="1" x14ac:dyDescent="0.3"/>
    <row r="27" spans="2:11" ht="42.75" thickBot="1" x14ac:dyDescent="0.3">
      <c r="B27" s="3"/>
      <c r="C27" s="2" t="s">
        <v>23</v>
      </c>
      <c r="D27" s="2" t="s">
        <v>15</v>
      </c>
      <c r="E27" s="2" t="s">
        <v>22</v>
      </c>
      <c r="F27" s="2" t="s">
        <v>13</v>
      </c>
      <c r="G27" s="2" t="s">
        <v>12</v>
      </c>
      <c r="H27" s="2" t="s">
        <v>11</v>
      </c>
      <c r="I27" s="2" t="s">
        <v>10</v>
      </c>
      <c r="J27" s="2" t="s">
        <v>9</v>
      </c>
    </row>
    <row r="28" spans="2:11" ht="114" thickTop="1" thickBot="1" x14ac:dyDescent="0.3">
      <c r="B28" s="402" t="s">
        <v>401</v>
      </c>
      <c r="C28" s="6" t="s">
        <v>21</v>
      </c>
      <c r="D28" s="6" t="s">
        <v>100</v>
      </c>
      <c r="E28" s="18"/>
      <c r="F28" s="6" t="s">
        <v>20</v>
      </c>
      <c r="G28" s="4"/>
      <c r="H28" s="4">
        <v>3</v>
      </c>
      <c r="I28" s="4">
        <f t="shared" ref="I28:I35" si="2">G28*H28</f>
        <v>0</v>
      </c>
      <c r="J28" s="24">
        <f t="shared" ref="J28:J35" si="3">IF(G28=0,0,5*H28)</f>
        <v>0</v>
      </c>
    </row>
    <row r="29" spans="2:11" ht="113.25" thickBot="1" x14ac:dyDescent="0.3">
      <c r="B29" s="403" t="s">
        <v>402</v>
      </c>
      <c r="C29" s="8" t="s">
        <v>19</v>
      </c>
      <c r="D29" s="8" t="s">
        <v>63</v>
      </c>
      <c r="E29" s="9"/>
      <c r="F29" s="8" t="s">
        <v>89</v>
      </c>
      <c r="G29" s="7"/>
      <c r="H29" s="7">
        <v>3</v>
      </c>
      <c r="I29" s="7">
        <f t="shared" si="2"/>
        <v>0</v>
      </c>
      <c r="J29" s="7">
        <f t="shared" si="3"/>
        <v>0</v>
      </c>
    </row>
    <row r="30" spans="2:11" ht="114" thickTop="1" thickBot="1" x14ac:dyDescent="0.3">
      <c r="B30" s="402" t="s">
        <v>403</v>
      </c>
      <c r="C30" s="6" t="s">
        <v>50</v>
      </c>
      <c r="D30" s="6" t="s">
        <v>381</v>
      </c>
      <c r="E30" s="18"/>
      <c r="F30" s="378" t="s">
        <v>385</v>
      </c>
      <c r="G30" s="4"/>
      <c r="H30" s="4">
        <v>3</v>
      </c>
      <c r="I30" s="4">
        <f t="shared" si="2"/>
        <v>0</v>
      </c>
      <c r="J30" s="24">
        <f t="shared" si="3"/>
        <v>0</v>
      </c>
      <c r="K30" s="380"/>
    </row>
    <row r="31" spans="2:11" ht="113.25" thickBot="1" x14ac:dyDescent="0.3">
      <c r="B31" s="403" t="s">
        <v>404</v>
      </c>
      <c r="C31" s="8" t="s">
        <v>49</v>
      </c>
      <c r="D31" s="8" t="s">
        <v>386</v>
      </c>
      <c r="E31" s="19"/>
      <c r="F31" s="379" t="s">
        <v>387</v>
      </c>
      <c r="G31" s="7"/>
      <c r="H31" s="7">
        <v>2</v>
      </c>
      <c r="I31" s="7">
        <f t="shared" si="2"/>
        <v>0</v>
      </c>
      <c r="J31" s="7">
        <f t="shared" si="3"/>
        <v>0</v>
      </c>
      <c r="K31" s="380"/>
    </row>
    <row r="32" spans="2:11" ht="113.25" thickBot="1" x14ac:dyDescent="0.3">
      <c r="B32" s="402" t="s">
        <v>405</v>
      </c>
      <c r="C32" s="6" t="s">
        <v>48</v>
      </c>
      <c r="D32" s="6" t="s">
        <v>18</v>
      </c>
      <c r="E32" s="25"/>
      <c r="F32" s="6" t="s">
        <v>90</v>
      </c>
      <c r="G32" s="4"/>
      <c r="H32" s="4">
        <v>2</v>
      </c>
      <c r="I32" s="4">
        <f t="shared" si="2"/>
        <v>0</v>
      </c>
      <c r="J32" s="4">
        <f t="shared" si="3"/>
        <v>0</v>
      </c>
    </row>
    <row r="33" spans="2:10" ht="113.25" thickBot="1" x14ac:dyDescent="0.3">
      <c r="B33" s="403" t="s">
        <v>406</v>
      </c>
      <c r="C33" s="8" t="s">
        <v>47</v>
      </c>
      <c r="D33" s="8" t="s">
        <v>91</v>
      </c>
      <c r="E33" s="19"/>
      <c r="F33" s="8" t="s">
        <v>92</v>
      </c>
      <c r="G33" s="7"/>
      <c r="H33" s="7">
        <v>2</v>
      </c>
      <c r="I33" s="7">
        <f t="shared" si="2"/>
        <v>0</v>
      </c>
      <c r="J33" s="7">
        <f t="shared" si="3"/>
        <v>0</v>
      </c>
    </row>
    <row r="34" spans="2:10" ht="116.25" customHeight="1" thickBot="1" x14ac:dyDescent="0.3">
      <c r="B34" s="402" t="s">
        <v>407</v>
      </c>
      <c r="C34" s="6" t="s">
        <v>46</v>
      </c>
      <c r="D34" s="6" t="s">
        <v>97</v>
      </c>
      <c r="E34" s="4"/>
      <c r="F34" s="6" t="s">
        <v>60</v>
      </c>
      <c r="G34" s="4"/>
      <c r="H34" s="4">
        <v>1</v>
      </c>
      <c r="I34" s="4">
        <f t="shared" si="2"/>
        <v>0</v>
      </c>
      <c r="J34" s="4">
        <f t="shared" si="3"/>
        <v>0</v>
      </c>
    </row>
    <row r="35" spans="2:10" ht="79.5" customHeight="1" thickBot="1" x14ac:dyDescent="0.3">
      <c r="B35" s="403"/>
      <c r="C35" s="8" t="s">
        <v>2</v>
      </c>
      <c r="D35" s="8" t="s">
        <v>1</v>
      </c>
      <c r="E35" s="7" t="s">
        <v>1</v>
      </c>
      <c r="F35" s="7" t="s">
        <v>1</v>
      </c>
      <c r="G35" s="7">
        <v>0</v>
      </c>
      <c r="H35" s="7"/>
      <c r="I35" s="7">
        <f t="shared" si="2"/>
        <v>0</v>
      </c>
      <c r="J35" s="7">
        <f t="shared" si="3"/>
        <v>0</v>
      </c>
    </row>
    <row r="36" spans="2:10" ht="21.75" thickBot="1" x14ac:dyDescent="0.3">
      <c r="B36" s="3"/>
      <c r="C36" s="3" t="s">
        <v>17</v>
      </c>
      <c r="D36" s="3"/>
      <c r="E36" s="2"/>
      <c r="F36" s="2"/>
      <c r="G36" s="2"/>
      <c r="H36" s="2"/>
      <c r="I36" s="2">
        <f>SUM(I28:I35)</f>
        <v>0</v>
      </c>
      <c r="J36" s="2">
        <f>SUM(J28:J35)</f>
        <v>0</v>
      </c>
    </row>
    <row r="37" spans="2:10" ht="16.5" thickTop="1" thickBot="1" x14ac:dyDescent="0.3"/>
    <row r="38" spans="2:10" ht="42.75" thickBot="1" x14ac:dyDescent="0.3">
      <c r="B38" s="3"/>
      <c r="C38" s="2" t="s">
        <v>16</v>
      </c>
      <c r="D38" s="2" t="s">
        <v>15</v>
      </c>
      <c r="E38" s="2" t="s">
        <v>14</v>
      </c>
      <c r="F38" s="2" t="s">
        <v>13</v>
      </c>
      <c r="G38" s="2" t="s">
        <v>12</v>
      </c>
      <c r="H38" s="2" t="s">
        <v>11</v>
      </c>
      <c r="I38" s="2" t="s">
        <v>10</v>
      </c>
      <c r="J38" s="2" t="s">
        <v>9</v>
      </c>
    </row>
    <row r="39" spans="2:10" ht="132.75" thickTop="1" thickBot="1" x14ac:dyDescent="0.3">
      <c r="B39" s="402" t="s">
        <v>408</v>
      </c>
      <c r="C39" s="6" t="s">
        <v>8</v>
      </c>
      <c r="D39" s="6" t="s">
        <v>382</v>
      </c>
      <c r="E39" s="5"/>
      <c r="F39" s="378" t="s">
        <v>389</v>
      </c>
      <c r="G39" s="4"/>
      <c r="H39" s="4">
        <v>3</v>
      </c>
      <c r="I39" s="4">
        <f t="shared" ref="I39:I48" si="4">G39*H39</f>
        <v>0</v>
      </c>
      <c r="J39" s="4">
        <f t="shared" ref="J39:J48" si="5">IF(G39=0,0,5*H39)</f>
        <v>0</v>
      </c>
    </row>
    <row r="40" spans="2:10" ht="132" thickBot="1" x14ac:dyDescent="0.3">
      <c r="B40" s="403" t="s">
        <v>409</v>
      </c>
      <c r="C40" s="8" t="s">
        <v>7</v>
      </c>
      <c r="D40" s="8" t="s">
        <v>55</v>
      </c>
      <c r="E40" s="9"/>
      <c r="F40" s="8" t="s">
        <v>93</v>
      </c>
      <c r="G40" s="7"/>
      <c r="H40" s="7">
        <v>3</v>
      </c>
      <c r="I40" s="7">
        <f t="shared" si="4"/>
        <v>0</v>
      </c>
      <c r="J40" s="7">
        <f t="shared" si="5"/>
        <v>0</v>
      </c>
    </row>
    <row r="41" spans="2:10" ht="115.5" customHeight="1" thickBot="1" x14ac:dyDescent="0.3">
      <c r="B41" s="402" t="s">
        <v>410</v>
      </c>
      <c r="C41" s="6" t="s">
        <v>56</v>
      </c>
      <c r="D41" s="6" t="s">
        <v>57</v>
      </c>
      <c r="E41" s="18"/>
      <c r="F41" s="6" t="s">
        <v>58</v>
      </c>
      <c r="G41" s="4"/>
      <c r="H41" s="4">
        <v>2</v>
      </c>
      <c r="I41" s="4">
        <f t="shared" si="4"/>
        <v>0</v>
      </c>
      <c r="J41" s="4">
        <f t="shared" si="5"/>
        <v>0</v>
      </c>
    </row>
    <row r="42" spans="2:10" ht="78.599999999999994" customHeight="1" thickBot="1" x14ac:dyDescent="0.3">
      <c r="B42" s="403" t="s">
        <v>411</v>
      </c>
      <c r="C42" s="8" t="s">
        <v>6</v>
      </c>
      <c r="D42" s="8" t="s">
        <v>383</v>
      </c>
      <c r="E42" s="19"/>
      <c r="F42" s="8" t="s">
        <v>384</v>
      </c>
      <c r="G42" s="7"/>
      <c r="H42" s="7">
        <v>2</v>
      </c>
      <c r="I42" s="7">
        <f t="shared" si="4"/>
        <v>0</v>
      </c>
      <c r="J42" s="7">
        <f t="shared" si="5"/>
        <v>0</v>
      </c>
    </row>
    <row r="43" spans="2:10" ht="113.25" thickBot="1" x14ac:dyDescent="0.3">
      <c r="B43" s="402" t="s">
        <v>413</v>
      </c>
      <c r="C43" s="6" t="s">
        <v>71</v>
      </c>
      <c r="D43" s="6" t="s">
        <v>99</v>
      </c>
      <c r="E43" s="5"/>
      <c r="F43" s="6" t="s">
        <v>67</v>
      </c>
      <c r="G43" s="4"/>
      <c r="H43" s="4">
        <v>2</v>
      </c>
      <c r="I43" s="4">
        <f t="shared" si="4"/>
        <v>0</v>
      </c>
      <c r="J43" s="4">
        <f t="shared" si="5"/>
        <v>0</v>
      </c>
    </row>
    <row r="44" spans="2:10" ht="95.25" thickTop="1" thickBot="1" x14ac:dyDescent="0.3">
      <c r="B44" s="403" t="s">
        <v>412</v>
      </c>
      <c r="C44" s="8" t="s">
        <v>70</v>
      </c>
      <c r="D44" s="8" t="s">
        <v>5</v>
      </c>
      <c r="E44" s="9"/>
      <c r="F44" s="21" t="s">
        <v>61</v>
      </c>
      <c r="G44" s="7"/>
      <c r="H44" s="7">
        <v>1</v>
      </c>
      <c r="I44" s="7">
        <f t="shared" si="4"/>
        <v>0</v>
      </c>
      <c r="J44" s="7">
        <f t="shared" si="5"/>
        <v>0</v>
      </c>
    </row>
    <row r="45" spans="2:10" ht="195.75" customHeight="1" thickBot="1" x14ac:dyDescent="0.3">
      <c r="B45" s="402" t="s">
        <v>414</v>
      </c>
      <c r="C45" s="6" t="s">
        <v>4</v>
      </c>
      <c r="D45" s="6" t="s">
        <v>3</v>
      </c>
      <c r="E45" s="25"/>
      <c r="F45" s="6" t="s">
        <v>62</v>
      </c>
      <c r="G45" s="4"/>
      <c r="H45" s="4">
        <v>1</v>
      </c>
      <c r="I45" s="4">
        <f t="shared" si="4"/>
        <v>0</v>
      </c>
      <c r="J45" s="4">
        <f t="shared" si="5"/>
        <v>0</v>
      </c>
    </row>
    <row r="46" spans="2:10" ht="132" thickBot="1" x14ac:dyDescent="0.3">
      <c r="B46" s="403" t="s">
        <v>415</v>
      </c>
      <c r="C46" s="8" t="s">
        <v>69</v>
      </c>
      <c r="D46" s="8" t="s">
        <v>59</v>
      </c>
      <c r="E46" s="19"/>
      <c r="F46" s="8" t="s">
        <v>94</v>
      </c>
      <c r="G46" s="7"/>
      <c r="H46" s="7">
        <v>1</v>
      </c>
      <c r="I46" s="7">
        <f t="shared" si="4"/>
        <v>0</v>
      </c>
      <c r="J46" s="7">
        <f t="shared" si="5"/>
        <v>0</v>
      </c>
    </row>
    <row r="47" spans="2:10" ht="135" customHeight="1" thickBot="1" x14ac:dyDescent="0.3">
      <c r="B47" s="402" t="s">
        <v>416</v>
      </c>
      <c r="C47" s="6" t="s">
        <v>68</v>
      </c>
      <c r="D47" s="6" t="s">
        <v>98</v>
      </c>
      <c r="E47" s="26"/>
      <c r="F47" s="6" t="s">
        <v>95</v>
      </c>
      <c r="G47" s="4"/>
      <c r="H47" s="4">
        <v>1</v>
      </c>
      <c r="I47" s="4">
        <f t="shared" si="4"/>
        <v>0</v>
      </c>
      <c r="J47" s="4">
        <f t="shared" si="5"/>
        <v>0</v>
      </c>
    </row>
    <row r="48" spans="2:10" ht="57.75" thickTop="1" thickBot="1" x14ac:dyDescent="0.3">
      <c r="B48" s="403"/>
      <c r="C48" s="8" t="s">
        <v>2</v>
      </c>
      <c r="D48" s="8" t="s">
        <v>1</v>
      </c>
      <c r="E48" s="9" t="s">
        <v>1</v>
      </c>
      <c r="F48" s="21" t="s">
        <v>1</v>
      </c>
      <c r="G48" s="7"/>
      <c r="H48" s="7"/>
      <c r="I48" s="7">
        <f t="shared" si="4"/>
        <v>0</v>
      </c>
      <c r="J48" s="7">
        <f t="shared" si="5"/>
        <v>0</v>
      </c>
    </row>
    <row r="49" spans="2:10" ht="42.75" thickBot="1" x14ac:dyDescent="0.3">
      <c r="B49" s="3"/>
      <c r="C49" s="3" t="s">
        <v>0</v>
      </c>
      <c r="D49" s="3"/>
      <c r="E49" s="2"/>
      <c r="F49" s="2"/>
      <c r="G49" s="2"/>
      <c r="H49" s="2"/>
      <c r="I49" s="2">
        <f>SUM(I39:I48)</f>
        <v>0</v>
      </c>
      <c r="J49" s="2">
        <f>SUM(J39:J48)</f>
        <v>0</v>
      </c>
    </row>
    <row r="50" spans="2:10" ht="15.75" thickTop="1" x14ac:dyDescent="0.25"/>
  </sheetData>
  <mergeCells count="18">
    <mergeCell ref="D15:G15"/>
    <mergeCell ref="H15:I15"/>
    <mergeCell ref="D13:G13"/>
    <mergeCell ref="H13:I13"/>
    <mergeCell ref="D14:G14"/>
    <mergeCell ref="H14:I14"/>
    <mergeCell ref="C2:H2"/>
    <mergeCell ref="C3:H3"/>
    <mergeCell ref="C4:H4"/>
    <mergeCell ref="C5:H5"/>
    <mergeCell ref="D12:G12"/>
    <mergeCell ref="H12:I12"/>
    <mergeCell ref="D9:G9"/>
    <mergeCell ref="H9:I9"/>
    <mergeCell ref="D10:G10"/>
    <mergeCell ref="H10:I10"/>
    <mergeCell ref="D11:G11"/>
    <mergeCell ref="H11:I11"/>
  </mergeCells>
  <phoneticPr fontId="57" type="noConversion"/>
  <pageMargins left="0.7" right="0.53" top="0.75" bottom="0.75" header="0.3" footer="0.3"/>
  <pageSetup scale="46" orientation="portrait" horizontalDpi="300" verticalDpi="300" r:id="rId1"/>
  <headerFooter>
    <oddFooter>Page &amp;P</oddFooter>
  </headerFooter>
  <rowBreaks count="2" manualBreakCount="2">
    <brk id="26" max="16383" man="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50"/>
  <sheetViews>
    <sheetView showGridLines="0" view="pageBreakPreview" topLeftCell="A4" zoomScale="80" zoomScaleNormal="60" zoomScaleSheetLayoutView="80" workbookViewId="0">
      <selection activeCell="B1" sqref="B1:B65536"/>
    </sheetView>
  </sheetViews>
  <sheetFormatPr defaultColWidth="8.85546875" defaultRowHeight="15" x14ac:dyDescent="0.25"/>
  <cols>
    <col min="1" max="1" width="1.7109375" style="1" customWidth="1"/>
    <col min="2" max="2" width="5.85546875" style="1" customWidth="1"/>
    <col min="3" max="3" width="29.28515625" style="1" customWidth="1"/>
    <col min="4" max="4" width="38.7109375" style="1" customWidth="1"/>
    <col min="5" max="5" width="21.7109375" style="28" customWidth="1"/>
    <col min="6" max="6" width="32.140625" style="28" customWidth="1"/>
    <col min="7" max="7" width="14.7109375" style="28" customWidth="1"/>
    <col min="8" max="8" width="9.28515625" style="28" bestFit="1" customWidth="1"/>
    <col min="9" max="9" width="17.7109375" style="28" bestFit="1" customWidth="1"/>
    <col min="10" max="10" width="12.28515625" style="1" customWidth="1"/>
    <col min="11" max="11" width="37.28515625" style="1" customWidth="1"/>
    <col min="12" max="13" width="8.85546875" style="1"/>
    <col min="14" max="14" width="10.5703125" style="1" bestFit="1" customWidth="1"/>
    <col min="15" max="16384" width="8.85546875" style="1"/>
  </cols>
  <sheetData>
    <row r="2" spans="2:14" ht="23.45" customHeight="1" x14ac:dyDescent="0.25">
      <c r="C2" s="415" t="s">
        <v>40</v>
      </c>
      <c r="D2" s="415"/>
      <c r="E2" s="415"/>
      <c r="F2" s="415"/>
      <c r="G2" s="415"/>
      <c r="H2" s="415"/>
    </row>
    <row r="3" spans="2:14" ht="23.45" customHeight="1" x14ac:dyDescent="0.25">
      <c r="C3" s="415" t="s">
        <v>39</v>
      </c>
      <c r="D3" s="415"/>
      <c r="E3" s="415"/>
      <c r="F3" s="415"/>
      <c r="G3" s="415"/>
      <c r="H3" s="415"/>
    </row>
    <row r="4" spans="2:14" ht="23.45" customHeight="1" x14ac:dyDescent="0.25">
      <c r="C4" s="415" t="s">
        <v>38</v>
      </c>
      <c r="D4" s="415"/>
      <c r="E4" s="415"/>
      <c r="F4" s="415"/>
      <c r="G4" s="415"/>
      <c r="H4" s="415"/>
    </row>
    <row r="5" spans="2:14" ht="15.75" thickBot="1" x14ac:dyDescent="0.3">
      <c r="C5" s="416"/>
      <c r="D5" s="416"/>
      <c r="E5" s="416"/>
      <c r="F5" s="416"/>
      <c r="G5" s="416"/>
      <c r="H5" s="416"/>
    </row>
    <row r="6" spans="2:14" ht="21.75" thickBot="1" x14ac:dyDescent="0.3">
      <c r="B6" s="2"/>
      <c r="C6" s="2" t="s">
        <v>37</v>
      </c>
      <c r="D6" s="2" t="s">
        <v>393</v>
      </c>
    </row>
    <row r="7" spans="2:14" ht="22.5" thickTop="1" thickBot="1" x14ac:dyDescent="0.3">
      <c r="B7" s="2"/>
      <c r="C7" s="2" t="s">
        <v>390</v>
      </c>
      <c r="D7" s="2" t="s">
        <v>392</v>
      </c>
    </row>
    <row r="8" spans="2:14" ht="6" customHeight="1" thickTop="1" thickBot="1" x14ac:dyDescent="0.3">
      <c r="C8" s="17"/>
      <c r="D8" s="16"/>
    </row>
    <row r="9" spans="2:14" ht="21.75" thickBot="1" x14ac:dyDescent="0.3">
      <c r="B9" s="2"/>
      <c r="C9" s="2"/>
      <c r="D9" s="422"/>
      <c r="E9" s="423"/>
      <c r="F9" s="423"/>
      <c r="G9" s="424"/>
      <c r="H9" s="425"/>
      <c r="I9" s="426"/>
      <c r="J9" s="15"/>
    </row>
    <row r="10" spans="2:14" ht="39.950000000000003" customHeight="1" thickTop="1" thickBot="1" x14ac:dyDescent="0.3">
      <c r="B10" s="403"/>
      <c r="C10" s="27" t="s">
        <v>36</v>
      </c>
      <c r="D10" s="427" t="s">
        <v>35</v>
      </c>
      <c r="E10" s="428"/>
      <c r="F10" s="428"/>
      <c r="G10" s="429"/>
      <c r="H10" s="420"/>
      <c r="I10" s="421"/>
      <c r="J10" s="12"/>
      <c r="L10" s="13"/>
      <c r="M10" s="28"/>
      <c r="N10" s="13"/>
    </row>
    <row r="11" spans="2:14" ht="39.950000000000003" customHeight="1" thickBot="1" x14ac:dyDescent="0.3">
      <c r="B11" s="402"/>
      <c r="C11" s="29" t="s">
        <v>34</v>
      </c>
      <c r="D11" s="430" t="s">
        <v>64</v>
      </c>
      <c r="E11" s="431"/>
      <c r="F11" s="431"/>
      <c r="G11" s="432"/>
      <c r="H11" s="433"/>
      <c r="I11" s="426"/>
      <c r="J11" s="12"/>
      <c r="L11" s="13"/>
      <c r="M11" s="28"/>
      <c r="N11" s="13"/>
    </row>
    <row r="12" spans="2:14" ht="39.950000000000003" customHeight="1" thickTop="1" thickBot="1" x14ac:dyDescent="0.3">
      <c r="B12" s="403"/>
      <c r="C12" s="30" t="s">
        <v>33</v>
      </c>
      <c r="D12" s="417" t="s">
        <v>32</v>
      </c>
      <c r="E12" s="418"/>
      <c r="F12" s="418"/>
      <c r="G12" s="419"/>
      <c r="H12" s="420">
        <f>SUM(H10:I11)</f>
        <v>0</v>
      </c>
      <c r="I12" s="421"/>
      <c r="J12" s="14"/>
      <c r="L12" s="13"/>
      <c r="M12" s="28"/>
      <c r="N12" s="13"/>
    </row>
    <row r="13" spans="2:14" ht="39.950000000000003" customHeight="1" thickBot="1" x14ac:dyDescent="0.3">
      <c r="B13" s="402"/>
      <c r="C13" s="29" t="s">
        <v>31</v>
      </c>
      <c r="D13" s="434" t="s">
        <v>30</v>
      </c>
      <c r="E13" s="435"/>
      <c r="F13" s="435"/>
      <c r="G13" s="436"/>
      <c r="H13" s="440"/>
      <c r="I13" s="441"/>
      <c r="J13" s="12"/>
      <c r="L13" s="13"/>
      <c r="M13" s="28"/>
      <c r="N13" s="13"/>
    </row>
    <row r="14" spans="2:14" ht="39.950000000000003" customHeight="1" thickTop="1" thickBot="1" x14ac:dyDescent="0.3">
      <c r="B14" s="403"/>
      <c r="C14" s="30" t="s">
        <v>29</v>
      </c>
      <c r="D14" s="427" t="s">
        <v>28</v>
      </c>
      <c r="E14" s="428"/>
      <c r="F14" s="428"/>
      <c r="G14" s="429"/>
      <c r="H14" s="439"/>
      <c r="I14" s="438"/>
      <c r="J14" s="12"/>
      <c r="L14" s="13"/>
      <c r="M14" s="28"/>
      <c r="N14" s="13"/>
    </row>
    <row r="15" spans="2:14" ht="39.950000000000003" customHeight="1" thickBot="1" x14ac:dyDescent="0.3">
      <c r="B15" s="402"/>
      <c r="C15" s="29" t="s">
        <v>27</v>
      </c>
      <c r="D15" s="434" t="s">
        <v>26</v>
      </c>
      <c r="E15" s="435"/>
      <c r="F15" s="435"/>
      <c r="G15" s="436"/>
      <c r="H15" s="437"/>
      <c r="I15" s="438"/>
      <c r="J15" s="12"/>
    </row>
    <row r="16" spans="2:14" ht="15.75" thickBot="1" x14ac:dyDescent="0.3"/>
    <row r="17" spans="2:11" ht="42.75" thickBot="1" x14ac:dyDescent="0.3">
      <c r="B17" s="3"/>
      <c r="C17" s="2" t="s">
        <v>25</v>
      </c>
      <c r="D17" s="2" t="s">
        <v>15</v>
      </c>
      <c r="E17" s="2" t="s">
        <v>22</v>
      </c>
      <c r="F17" s="2" t="s">
        <v>13</v>
      </c>
      <c r="G17" s="2" t="s">
        <v>12</v>
      </c>
      <c r="H17" s="2" t="s">
        <v>11</v>
      </c>
      <c r="I17" s="2" t="s">
        <v>10</v>
      </c>
      <c r="J17" s="2" t="s">
        <v>9</v>
      </c>
    </row>
    <row r="18" spans="2:11" ht="114" thickTop="1" thickBot="1" x14ac:dyDescent="0.3">
      <c r="B18" s="403" t="s">
        <v>395</v>
      </c>
      <c r="C18" s="8" t="s">
        <v>54</v>
      </c>
      <c r="D18" s="8" t="s">
        <v>83</v>
      </c>
      <c r="E18" s="20"/>
      <c r="F18" s="8" t="s">
        <v>84</v>
      </c>
      <c r="G18" s="7"/>
      <c r="H18" s="7">
        <v>3</v>
      </c>
      <c r="I18" s="7">
        <f t="shared" ref="I18:I24" si="0">G18*H18</f>
        <v>0</v>
      </c>
      <c r="J18" s="7">
        <f t="shared" ref="J18:J24" si="1">IF(G18=0,0,5*H18)</f>
        <v>0</v>
      </c>
    </row>
    <row r="19" spans="2:11" ht="113.25" thickBot="1" x14ac:dyDescent="0.3">
      <c r="B19" s="402" t="s">
        <v>396</v>
      </c>
      <c r="C19" s="6" t="s">
        <v>65</v>
      </c>
      <c r="D19" s="6" t="s">
        <v>86</v>
      </c>
      <c r="E19" s="22"/>
      <c r="F19" s="6" t="s">
        <v>85</v>
      </c>
      <c r="G19" s="4"/>
      <c r="H19" s="4">
        <v>3</v>
      </c>
      <c r="I19" s="4">
        <f t="shared" si="0"/>
        <v>0</v>
      </c>
      <c r="J19" s="4">
        <f t="shared" si="1"/>
        <v>0</v>
      </c>
    </row>
    <row r="20" spans="2:11" ht="126" customHeight="1" thickBot="1" x14ac:dyDescent="0.3">
      <c r="B20" s="403" t="s">
        <v>397</v>
      </c>
      <c r="C20" s="8" t="s">
        <v>53</v>
      </c>
      <c r="D20" s="8" t="s">
        <v>43</v>
      </c>
      <c r="E20" s="9"/>
      <c r="F20" s="8" t="s">
        <v>44</v>
      </c>
      <c r="G20" s="7"/>
      <c r="H20" s="7">
        <v>3</v>
      </c>
      <c r="I20" s="7">
        <f t="shared" si="0"/>
        <v>0</v>
      </c>
      <c r="J20" s="7">
        <f t="shared" si="1"/>
        <v>0</v>
      </c>
    </row>
    <row r="21" spans="2:11" ht="113.25" thickBot="1" x14ac:dyDescent="0.3">
      <c r="B21" s="402" t="s">
        <v>398</v>
      </c>
      <c r="C21" s="6" t="s">
        <v>52</v>
      </c>
      <c r="D21" s="6" t="s">
        <v>41</v>
      </c>
      <c r="E21" s="5"/>
      <c r="F21" s="6" t="s">
        <v>42</v>
      </c>
      <c r="G21" s="4"/>
      <c r="H21" s="4">
        <v>3</v>
      </c>
      <c r="I21" s="4">
        <f t="shared" si="0"/>
        <v>0</v>
      </c>
      <c r="J21" s="4">
        <f t="shared" si="1"/>
        <v>0</v>
      </c>
    </row>
    <row r="22" spans="2:11" ht="121.9" customHeight="1" thickBot="1" x14ac:dyDescent="0.3">
      <c r="B22" s="403" t="s">
        <v>399</v>
      </c>
      <c r="C22" s="8" t="s">
        <v>66</v>
      </c>
      <c r="D22" s="8" t="s">
        <v>96</v>
      </c>
      <c r="E22" s="9"/>
      <c r="F22" s="8" t="s">
        <v>45</v>
      </c>
      <c r="G22" s="7"/>
      <c r="H22" s="7">
        <v>2</v>
      </c>
      <c r="I22" s="7">
        <f t="shared" si="0"/>
        <v>0</v>
      </c>
      <c r="J22" s="7">
        <f t="shared" si="1"/>
        <v>0</v>
      </c>
    </row>
    <row r="23" spans="2:11" ht="97.15" customHeight="1" thickBot="1" x14ac:dyDescent="0.3">
      <c r="B23" s="402" t="s">
        <v>400</v>
      </c>
      <c r="C23" s="6" t="s">
        <v>51</v>
      </c>
      <c r="D23" s="6" t="s">
        <v>88</v>
      </c>
      <c r="E23" s="23"/>
      <c r="F23" s="6" t="s">
        <v>87</v>
      </c>
      <c r="G23" s="4"/>
      <c r="H23" s="4">
        <v>2</v>
      </c>
      <c r="I23" s="4">
        <f t="shared" si="0"/>
        <v>0</v>
      </c>
      <c r="J23" s="4">
        <f t="shared" si="1"/>
        <v>0</v>
      </c>
    </row>
    <row r="24" spans="2:11" ht="57" thickBot="1" x14ac:dyDescent="0.3">
      <c r="B24" s="403"/>
      <c r="C24" s="8" t="s">
        <v>2</v>
      </c>
      <c r="D24" s="8" t="s">
        <v>1</v>
      </c>
      <c r="E24" s="7" t="s">
        <v>1</v>
      </c>
      <c r="F24" s="7" t="s">
        <v>1</v>
      </c>
      <c r="G24" s="7">
        <v>0</v>
      </c>
      <c r="H24" s="7"/>
      <c r="I24" s="7">
        <f t="shared" si="0"/>
        <v>0</v>
      </c>
      <c r="J24" s="7">
        <f t="shared" si="1"/>
        <v>0</v>
      </c>
    </row>
    <row r="25" spans="2:11" ht="21.75" thickBot="1" x14ac:dyDescent="0.3">
      <c r="B25" s="3"/>
      <c r="C25" s="11" t="s">
        <v>24</v>
      </c>
      <c r="D25" s="11"/>
      <c r="E25" s="10"/>
      <c r="F25" s="11"/>
      <c r="G25" s="10"/>
      <c r="H25" s="10"/>
      <c r="I25" s="10">
        <f>SUM(I18:I24)</f>
        <v>0</v>
      </c>
      <c r="J25" s="10">
        <f>SUM(J18:J24)</f>
        <v>0</v>
      </c>
    </row>
    <row r="26" spans="2:11" ht="16.5" thickTop="1" thickBot="1" x14ac:dyDescent="0.3"/>
    <row r="27" spans="2:11" ht="42.75" thickBot="1" x14ac:dyDescent="0.3">
      <c r="B27" s="3"/>
      <c r="C27" s="2" t="s">
        <v>23</v>
      </c>
      <c r="D27" s="2" t="s">
        <v>15</v>
      </c>
      <c r="E27" s="2" t="s">
        <v>22</v>
      </c>
      <c r="F27" s="2" t="s">
        <v>13</v>
      </c>
      <c r="G27" s="2" t="s">
        <v>12</v>
      </c>
      <c r="H27" s="2" t="s">
        <v>11</v>
      </c>
      <c r="I27" s="2" t="s">
        <v>10</v>
      </c>
      <c r="J27" s="2" t="s">
        <v>9</v>
      </c>
    </row>
    <row r="28" spans="2:11" ht="114" thickTop="1" thickBot="1" x14ac:dyDescent="0.3">
      <c r="B28" s="402" t="s">
        <v>401</v>
      </c>
      <c r="C28" s="6" t="s">
        <v>21</v>
      </c>
      <c r="D28" s="6" t="s">
        <v>100</v>
      </c>
      <c r="E28" s="18"/>
      <c r="F28" s="6" t="s">
        <v>20</v>
      </c>
      <c r="G28" s="4"/>
      <c r="H28" s="4">
        <v>3</v>
      </c>
      <c r="I28" s="4">
        <f t="shared" ref="I28:I35" si="2">G28*H28</f>
        <v>0</v>
      </c>
      <c r="J28" s="24">
        <f t="shared" ref="J28:J35" si="3">IF(G28=0,0,5*H28)</f>
        <v>0</v>
      </c>
    </row>
    <row r="29" spans="2:11" ht="113.25" thickBot="1" x14ac:dyDescent="0.3">
      <c r="B29" s="403" t="s">
        <v>402</v>
      </c>
      <c r="C29" s="8" t="s">
        <v>19</v>
      </c>
      <c r="D29" s="8" t="s">
        <v>63</v>
      </c>
      <c r="E29" s="9"/>
      <c r="F29" s="8" t="s">
        <v>89</v>
      </c>
      <c r="G29" s="7"/>
      <c r="H29" s="7">
        <v>3</v>
      </c>
      <c r="I29" s="7">
        <f t="shared" si="2"/>
        <v>0</v>
      </c>
      <c r="J29" s="7">
        <f t="shared" si="3"/>
        <v>0</v>
      </c>
    </row>
    <row r="30" spans="2:11" ht="114" thickTop="1" thickBot="1" x14ac:dyDescent="0.3">
      <c r="B30" s="402" t="s">
        <v>403</v>
      </c>
      <c r="C30" s="6" t="s">
        <v>50</v>
      </c>
      <c r="D30" s="6" t="s">
        <v>381</v>
      </c>
      <c r="E30" s="18"/>
      <c r="F30" s="378" t="s">
        <v>385</v>
      </c>
      <c r="G30" s="4"/>
      <c r="H30" s="4">
        <v>3</v>
      </c>
      <c r="I30" s="4">
        <f t="shared" si="2"/>
        <v>0</v>
      </c>
      <c r="J30" s="24">
        <f t="shared" si="3"/>
        <v>0</v>
      </c>
      <c r="K30" s="380"/>
    </row>
    <row r="31" spans="2:11" ht="113.25" thickBot="1" x14ac:dyDescent="0.3">
      <c r="B31" s="403" t="s">
        <v>404</v>
      </c>
      <c r="C31" s="8" t="s">
        <v>49</v>
      </c>
      <c r="D31" s="8" t="s">
        <v>386</v>
      </c>
      <c r="E31" s="19"/>
      <c r="F31" s="379" t="s">
        <v>387</v>
      </c>
      <c r="G31" s="7"/>
      <c r="H31" s="7">
        <v>2</v>
      </c>
      <c r="I31" s="7">
        <f t="shared" si="2"/>
        <v>0</v>
      </c>
      <c r="J31" s="7">
        <f t="shared" si="3"/>
        <v>0</v>
      </c>
      <c r="K31" s="380"/>
    </row>
    <row r="32" spans="2:11" ht="113.25" thickBot="1" x14ac:dyDescent="0.3">
      <c r="B32" s="402" t="s">
        <v>405</v>
      </c>
      <c r="C32" s="6" t="s">
        <v>48</v>
      </c>
      <c r="D32" s="6" t="s">
        <v>18</v>
      </c>
      <c r="E32" s="25"/>
      <c r="F32" s="6" t="s">
        <v>90</v>
      </c>
      <c r="G32" s="4"/>
      <c r="H32" s="4">
        <v>2</v>
      </c>
      <c r="I32" s="4">
        <f t="shared" si="2"/>
        <v>0</v>
      </c>
      <c r="J32" s="4">
        <f t="shared" si="3"/>
        <v>0</v>
      </c>
    </row>
    <row r="33" spans="2:10" ht="113.25" thickBot="1" x14ac:dyDescent="0.3">
      <c r="B33" s="403" t="s">
        <v>406</v>
      </c>
      <c r="C33" s="8" t="s">
        <v>47</v>
      </c>
      <c r="D33" s="8" t="s">
        <v>91</v>
      </c>
      <c r="E33" s="19"/>
      <c r="F33" s="8" t="s">
        <v>92</v>
      </c>
      <c r="G33" s="7"/>
      <c r="H33" s="7">
        <v>2</v>
      </c>
      <c r="I33" s="7">
        <f t="shared" si="2"/>
        <v>0</v>
      </c>
      <c r="J33" s="7">
        <f t="shared" si="3"/>
        <v>0</v>
      </c>
    </row>
    <row r="34" spans="2:10" ht="116.25" customHeight="1" thickBot="1" x14ac:dyDescent="0.3">
      <c r="B34" s="402" t="s">
        <v>407</v>
      </c>
      <c r="C34" s="6" t="s">
        <v>46</v>
      </c>
      <c r="D34" s="6" t="s">
        <v>97</v>
      </c>
      <c r="E34" s="4"/>
      <c r="F34" s="6" t="s">
        <v>60</v>
      </c>
      <c r="G34" s="4"/>
      <c r="H34" s="4">
        <v>1</v>
      </c>
      <c r="I34" s="4">
        <f t="shared" si="2"/>
        <v>0</v>
      </c>
      <c r="J34" s="4">
        <f t="shared" si="3"/>
        <v>0</v>
      </c>
    </row>
    <row r="35" spans="2:10" ht="60.75" customHeight="1" thickBot="1" x14ac:dyDescent="0.3">
      <c r="B35" s="403"/>
      <c r="C35" s="8" t="s">
        <v>2</v>
      </c>
      <c r="D35" s="8" t="s">
        <v>1</v>
      </c>
      <c r="E35" s="7" t="s">
        <v>1</v>
      </c>
      <c r="F35" s="7" t="s">
        <v>1</v>
      </c>
      <c r="G35" s="7">
        <v>0</v>
      </c>
      <c r="H35" s="7"/>
      <c r="I35" s="7">
        <f t="shared" si="2"/>
        <v>0</v>
      </c>
      <c r="J35" s="7">
        <f t="shared" si="3"/>
        <v>0</v>
      </c>
    </row>
    <row r="36" spans="2:10" ht="21.75" thickBot="1" x14ac:dyDescent="0.3">
      <c r="B36" s="3"/>
      <c r="C36" s="3" t="s">
        <v>17</v>
      </c>
      <c r="D36" s="3"/>
      <c r="E36" s="2"/>
      <c r="F36" s="2"/>
      <c r="G36" s="2"/>
      <c r="H36" s="2"/>
      <c r="I36" s="2">
        <f>SUM(I28:I35)</f>
        <v>0</v>
      </c>
      <c r="J36" s="2">
        <f>SUM(J28:J35)</f>
        <v>0</v>
      </c>
    </row>
    <row r="37" spans="2:10" ht="16.5" thickTop="1" thickBot="1" x14ac:dyDescent="0.3"/>
    <row r="38" spans="2:10" ht="42.75" thickBot="1" x14ac:dyDescent="0.3">
      <c r="B38" s="3"/>
      <c r="C38" s="2" t="s">
        <v>16</v>
      </c>
      <c r="D38" s="2" t="s">
        <v>15</v>
      </c>
      <c r="E38" s="2" t="s">
        <v>14</v>
      </c>
      <c r="F38" s="2" t="s">
        <v>13</v>
      </c>
      <c r="G38" s="2" t="s">
        <v>12</v>
      </c>
      <c r="H38" s="2" t="s">
        <v>11</v>
      </c>
      <c r="I38" s="2" t="s">
        <v>10</v>
      </c>
      <c r="J38" s="2" t="s">
        <v>9</v>
      </c>
    </row>
    <row r="39" spans="2:10" ht="132.75" thickTop="1" thickBot="1" x14ac:dyDescent="0.3">
      <c r="B39" s="402" t="s">
        <v>408</v>
      </c>
      <c r="C39" s="6" t="s">
        <v>8</v>
      </c>
      <c r="D39" s="6" t="s">
        <v>382</v>
      </c>
      <c r="E39" s="5"/>
      <c r="F39" s="378" t="s">
        <v>389</v>
      </c>
      <c r="G39" s="4"/>
      <c r="H39" s="4">
        <v>3</v>
      </c>
      <c r="I39" s="4">
        <f t="shared" ref="I39:I48" si="4">G39*H39</f>
        <v>0</v>
      </c>
      <c r="J39" s="4">
        <f t="shared" ref="J39:J48" si="5">IF(G39=0,0,5*H39)</f>
        <v>0</v>
      </c>
    </row>
    <row r="40" spans="2:10" ht="132" thickBot="1" x14ac:dyDescent="0.3">
      <c r="B40" s="403" t="s">
        <v>409</v>
      </c>
      <c r="C40" s="8" t="s">
        <v>7</v>
      </c>
      <c r="D40" s="8" t="s">
        <v>55</v>
      </c>
      <c r="E40" s="9"/>
      <c r="F40" s="8" t="s">
        <v>93</v>
      </c>
      <c r="G40" s="7"/>
      <c r="H40" s="7">
        <v>3</v>
      </c>
      <c r="I40" s="7">
        <f t="shared" si="4"/>
        <v>0</v>
      </c>
      <c r="J40" s="7">
        <f t="shared" si="5"/>
        <v>0</v>
      </c>
    </row>
    <row r="41" spans="2:10" ht="115.5" customHeight="1" thickBot="1" x14ac:dyDescent="0.3">
      <c r="B41" s="402" t="s">
        <v>410</v>
      </c>
      <c r="C41" s="6" t="s">
        <v>56</v>
      </c>
      <c r="D41" s="6" t="s">
        <v>57</v>
      </c>
      <c r="E41" s="18"/>
      <c r="F41" s="6" t="s">
        <v>58</v>
      </c>
      <c r="G41" s="4"/>
      <c r="H41" s="4">
        <v>2</v>
      </c>
      <c r="I41" s="4">
        <f t="shared" si="4"/>
        <v>0</v>
      </c>
      <c r="J41" s="4">
        <f t="shared" si="5"/>
        <v>0</v>
      </c>
    </row>
    <row r="42" spans="2:10" ht="78.599999999999994" customHeight="1" thickBot="1" x14ac:dyDescent="0.3">
      <c r="B42" s="403" t="s">
        <v>411</v>
      </c>
      <c r="C42" s="8" t="s">
        <v>6</v>
      </c>
      <c r="D42" s="8" t="s">
        <v>383</v>
      </c>
      <c r="E42" s="381"/>
      <c r="F42" s="8" t="s">
        <v>384</v>
      </c>
      <c r="G42" s="7"/>
      <c r="H42" s="7">
        <v>2</v>
      </c>
      <c r="I42" s="7">
        <f t="shared" si="4"/>
        <v>0</v>
      </c>
      <c r="J42" s="7">
        <f t="shared" si="5"/>
        <v>0</v>
      </c>
    </row>
    <row r="43" spans="2:10" ht="113.25" thickBot="1" x14ac:dyDescent="0.3">
      <c r="B43" s="402" t="s">
        <v>413</v>
      </c>
      <c r="C43" s="6" t="s">
        <v>71</v>
      </c>
      <c r="D43" s="6" t="s">
        <v>99</v>
      </c>
      <c r="E43" s="5"/>
      <c r="F43" s="6" t="s">
        <v>67</v>
      </c>
      <c r="G43" s="4"/>
      <c r="H43" s="4">
        <v>2</v>
      </c>
      <c r="I43" s="4">
        <f t="shared" si="4"/>
        <v>0</v>
      </c>
      <c r="J43" s="4">
        <f t="shared" si="5"/>
        <v>0</v>
      </c>
    </row>
    <row r="44" spans="2:10" ht="95.25" thickTop="1" thickBot="1" x14ac:dyDescent="0.3">
      <c r="B44" s="403" t="s">
        <v>412</v>
      </c>
      <c r="C44" s="8" t="s">
        <v>70</v>
      </c>
      <c r="D44" s="8" t="s">
        <v>5</v>
      </c>
      <c r="E44" s="9"/>
      <c r="F44" s="21" t="s">
        <v>61</v>
      </c>
      <c r="G44" s="7"/>
      <c r="H44" s="7">
        <v>1</v>
      </c>
      <c r="I44" s="7">
        <f t="shared" si="4"/>
        <v>0</v>
      </c>
      <c r="J44" s="7">
        <f t="shared" si="5"/>
        <v>0</v>
      </c>
    </row>
    <row r="45" spans="2:10" ht="195.75" customHeight="1" thickBot="1" x14ac:dyDescent="0.3">
      <c r="B45" s="402" t="s">
        <v>414</v>
      </c>
      <c r="C45" s="6" t="s">
        <v>4</v>
      </c>
      <c r="D45" s="6" t="s">
        <v>3</v>
      </c>
      <c r="E45" s="25"/>
      <c r="F45" s="6" t="s">
        <v>62</v>
      </c>
      <c r="G45" s="4"/>
      <c r="H45" s="4">
        <v>1</v>
      </c>
      <c r="I45" s="4">
        <f t="shared" si="4"/>
        <v>0</v>
      </c>
      <c r="J45" s="4">
        <f t="shared" si="5"/>
        <v>0</v>
      </c>
    </row>
    <row r="46" spans="2:10" ht="132" thickBot="1" x14ac:dyDescent="0.3">
      <c r="B46" s="403" t="s">
        <v>415</v>
      </c>
      <c r="C46" s="8" t="s">
        <v>69</v>
      </c>
      <c r="D46" s="8" t="s">
        <v>59</v>
      </c>
      <c r="E46" s="19"/>
      <c r="F46" s="8" t="s">
        <v>94</v>
      </c>
      <c r="G46" s="7"/>
      <c r="H46" s="7">
        <v>1</v>
      </c>
      <c r="I46" s="7">
        <f t="shared" si="4"/>
        <v>0</v>
      </c>
      <c r="J46" s="7">
        <f t="shared" si="5"/>
        <v>0</v>
      </c>
    </row>
    <row r="47" spans="2:10" ht="135" customHeight="1" thickBot="1" x14ac:dyDescent="0.3">
      <c r="B47" s="402" t="s">
        <v>416</v>
      </c>
      <c r="C47" s="6" t="s">
        <v>68</v>
      </c>
      <c r="D47" s="6" t="s">
        <v>98</v>
      </c>
      <c r="E47" s="26"/>
      <c r="F47" s="6" t="s">
        <v>95</v>
      </c>
      <c r="G47" s="4"/>
      <c r="H47" s="4">
        <v>1</v>
      </c>
      <c r="I47" s="4">
        <f t="shared" si="4"/>
        <v>0</v>
      </c>
      <c r="J47" s="4">
        <f t="shared" si="5"/>
        <v>0</v>
      </c>
    </row>
    <row r="48" spans="2:10" ht="57.75" thickTop="1" thickBot="1" x14ac:dyDescent="0.3">
      <c r="B48" s="403"/>
      <c r="C48" s="8" t="s">
        <v>2</v>
      </c>
      <c r="D48" s="8" t="s">
        <v>1</v>
      </c>
      <c r="E48" s="9" t="s">
        <v>1</v>
      </c>
      <c r="F48" s="21" t="s">
        <v>1</v>
      </c>
      <c r="G48" s="7"/>
      <c r="H48" s="7"/>
      <c r="I48" s="7">
        <f t="shared" si="4"/>
        <v>0</v>
      </c>
      <c r="J48" s="7">
        <f t="shared" si="5"/>
        <v>0</v>
      </c>
    </row>
    <row r="49" spans="2:10" ht="42.75" thickBot="1" x14ac:dyDescent="0.3">
      <c r="B49" s="3"/>
      <c r="C49" s="3" t="s">
        <v>0</v>
      </c>
      <c r="D49" s="3"/>
      <c r="E49" s="2"/>
      <c r="F49" s="2"/>
      <c r="G49" s="2"/>
      <c r="H49" s="2"/>
      <c r="I49" s="2">
        <f>SUM(I39:I48)</f>
        <v>0</v>
      </c>
      <c r="J49" s="2">
        <f>SUM(J39:J48)</f>
        <v>0</v>
      </c>
    </row>
    <row r="50" spans="2:10" ht="15.75" thickTop="1" x14ac:dyDescent="0.25"/>
  </sheetData>
  <mergeCells count="18">
    <mergeCell ref="D15:G15"/>
    <mergeCell ref="H15:I15"/>
    <mergeCell ref="D13:G13"/>
    <mergeCell ref="H13:I13"/>
    <mergeCell ref="D14:G14"/>
    <mergeCell ref="H14:I14"/>
    <mergeCell ref="C2:H2"/>
    <mergeCell ref="C3:H3"/>
    <mergeCell ref="C4:H4"/>
    <mergeCell ref="C5:H5"/>
    <mergeCell ref="D12:G12"/>
    <mergeCell ref="H12:I12"/>
    <mergeCell ref="D9:G9"/>
    <mergeCell ref="H9:I9"/>
    <mergeCell ref="D10:G10"/>
    <mergeCell ref="H10:I10"/>
    <mergeCell ref="D11:G11"/>
    <mergeCell ref="H11:I11"/>
  </mergeCells>
  <phoneticPr fontId="57" type="noConversion"/>
  <pageMargins left="0.7" right="0.53" top="0.75" bottom="0.75" header="0.3" footer="0.3"/>
  <pageSetup scale="46" orientation="portrait" horizontalDpi="300" verticalDpi="300" r:id="rId1"/>
  <headerFooter>
    <oddFooter>Page &amp;P</oddFooter>
  </headerFooter>
  <rowBreaks count="2" manualBreakCount="2">
    <brk id="26" max="16383" man="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M50"/>
  <sheetViews>
    <sheetView showGridLines="0" view="pageBreakPreview" zoomScale="80" zoomScaleNormal="60" zoomScaleSheetLayoutView="80" workbookViewId="0">
      <selection activeCell="B1" sqref="B1:H65536"/>
    </sheetView>
  </sheetViews>
  <sheetFormatPr defaultColWidth="8.85546875" defaultRowHeight="15" x14ac:dyDescent="0.25"/>
  <cols>
    <col min="1" max="1" width="1.7109375" style="1" customWidth="1"/>
    <col min="2" max="2" width="5.85546875" style="1" customWidth="1"/>
    <col min="3" max="3" width="38.7109375" style="1" customWidth="1"/>
    <col min="4" max="4" width="21.7109375" style="28" customWidth="1"/>
    <col min="5" max="5" width="32.140625" style="28" customWidth="1"/>
    <col min="6" max="6" width="14.7109375" style="28" customWidth="1"/>
    <col min="7" max="7" width="9.28515625" style="28" bestFit="1" customWidth="1"/>
    <col min="8" max="8" width="17.7109375" style="28" bestFit="1" customWidth="1"/>
    <col min="9" max="9" width="12.28515625" style="1" customWidth="1"/>
    <col min="10" max="10" width="37.28515625" style="1" customWidth="1"/>
    <col min="11" max="12" width="8.85546875" style="1"/>
    <col min="13" max="13" width="10.5703125" style="1" bestFit="1" customWidth="1"/>
    <col min="14" max="16384" width="8.85546875" style="1"/>
  </cols>
  <sheetData>
    <row r="2" spans="2:13" ht="23.45" customHeight="1" x14ac:dyDescent="0.25">
      <c r="B2" s="415" t="s">
        <v>40</v>
      </c>
      <c r="C2" s="415"/>
      <c r="D2" s="415"/>
      <c r="E2" s="415"/>
      <c r="F2" s="415"/>
      <c r="G2" s="415"/>
    </row>
    <row r="3" spans="2:13" ht="23.45" customHeight="1" x14ac:dyDescent="0.25">
      <c r="B3" s="415" t="s">
        <v>39</v>
      </c>
      <c r="C3" s="415"/>
      <c r="D3" s="415"/>
      <c r="E3" s="415"/>
      <c r="F3" s="415"/>
      <c r="G3" s="415"/>
    </row>
    <row r="4" spans="2:13" ht="23.45" customHeight="1" x14ac:dyDescent="0.25">
      <c r="B4" s="415" t="s">
        <v>38</v>
      </c>
      <c r="C4" s="415"/>
      <c r="D4" s="415"/>
      <c r="E4" s="415"/>
      <c r="F4" s="415"/>
      <c r="G4" s="415"/>
    </row>
    <row r="5" spans="2:13" ht="15.75" thickBot="1" x14ac:dyDescent="0.3">
      <c r="B5" s="416"/>
      <c r="C5" s="416"/>
      <c r="D5" s="416"/>
      <c r="E5" s="416"/>
      <c r="F5" s="416"/>
      <c r="G5" s="416"/>
    </row>
    <row r="6" spans="2:13" ht="21.75" thickBot="1" x14ac:dyDescent="0.3">
      <c r="B6" s="2"/>
      <c r="C6" s="2" t="s">
        <v>393</v>
      </c>
    </row>
    <row r="7" spans="2:13" ht="22.5" thickTop="1" thickBot="1" x14ac:dyDescent="0.3">
      <c r="B7" s="2"/>
      <c r="C7" s="2" t="s">
        <v>392</v>
      </c>
    </row>
    <row r="8" spans="2:13" ht="6" customHeight="1" thickTop="1" thickBot="1" x14ac:dyDescent="0.3">
      <c r="C8" s="16"/>
    </row>
    <row r="9" spans="2:13" ht="21.75" thickBot="1" x14ac:dyDescent="0.3">
      <c r="B9" s="2"/>
      <c r="C9" s="422"/>
      <c r="D9" s="423"/>
      <c r="E9" s="423"/>
      <c r="F9" s="424"/>
      <c r="G9" s="425"/>
      <c r="H9" s="426"/>
      <c r="I9" s="15"/>
    </row>
    <row r="10" spans="2:13" ht="39.950000000000003" customHeight="1" thickTop="1" thickBot="1" x14ac:dyDescent="0.3">
      <c r="B10" s="403"/>
      <c r="C10" s="427" t="s">
        <v>35</v>
      </c>
      <c r="D10" s="428"/>
      <c r="E10" s="428"/>
      <c r="F10" s="429"/>
      <c r="G10" s="420"/>
      <c r="H10" s="421"/>
      <c r="I10" s="12"/>
      <c r="K10" s="13"/>
      <c r="L10" s="28"/>
      <c r="M10" s="13"/>
    </row>
    <row r="11" spans="2:13" ht="39.950000000000003" customHeight="1" thickBot="1" x14ac:dyDescent="0.3">
      <c r="B11" s="402"/>
      <c r="C11" s="430" t="s">
        <v>64</v>
      </c>
      <c r="D11" s="431"/>
      <c r="E11" s="431"/>
      <c r="F11" s="432"/>
      <c r="G11" s="442"/>
      <c r="H11" s="443"/>
      <c r="I11" s="12"/>
      <c r="K11" s="13"/>
      <c r="L11" s="28"/>
      <c r="M11" s="13"/>
    </row>
    <row r="12" spans="2:13" ht="39.950000000000003" customHeight="1" thickTop="1" thickBot="1" x14ac:dyDescent="0.3">
      <c r="B12" s="403"/>
      <c r="C12" s="417" t="s">
        <v>32</v>
      </c>
      <c r="D12" s="418"/>
      <c r="E12" s="418"/>
      <c r="F12" s="419"/>
      <c r="G12" s="420">
        <f>SUM(G10:H11)</f>
        <v>0</v>
      </c>
      <c r="H12" s="421"/>
      <c r="I12" s="14"/>
      <c r="K12" s="13"/>
      <c r="L12" s="28"/>
      <c r="M12" s="13"/>
    </row>
    <row r="13" spans="2:13" ht="39.950000000000003" customHeight="1" thickBot="1" x14ac:dyDescent="0.3">
      <c r="B13" s="402"/>
      <c r="C13" s="434" t="s">
        <v>30</v>
      </c>
      <c r="D13" s="435"/>
      <c r="E13" s="435"/>
      <c r="F13" s="436"/>
      <c r="G13" s="440"/>
      <c r="H13" s="441"/>
      <c r="I13" s="12"/>
      <c r="K13" s="13"/>
      <c r="L13" s="28"/>
      <c r="M13" s="13"/>
    </row>
    <row r="14" spans="2:13" ht="39.950000000000003" customHeight="1" thickBot="1" x14ac:dyDescent="0.3">
      <c r="B14" s="403"/>
      <c r="C14" s="427" t="s">
        <v>28</v>
      </c>
      <c r="D14" s="428"/>
      <c r="E14" s="428"/>
      <c r="F14" s="429"/>
      <c r="G14" s="439"/>
      <c r="H14" s="438"/>
      <c r="I14" s="12"/>
      <c r="K14" s="13"/>
      <c r="L14" s="28"/>
      <c r="M14" s="13"/>
    </row>
    <row r="15" spans="2:13" ht="39.950000000000003" customHeight="1" thickBot="1" x14ac:dyDescent="0.3">
      <c r="B15" s="402"/>
      <c r="C15" s="434" t="s">
        <v>26</v>
      </c>
      <c r="D15" s="435"/>
      <c r="E15" s="435"/>
      <c r="F15" s="436"/>
      <c r="G15" s="437"/>
      <c r="H15" s="438"/>
      <c r="I15" s="12"/>
    </row>
    <row r="16" spans="2:13" ht="15.75" thickBot="1" x14ac:dyDescent="0.3"/>
    <row r="17" spans="2:10" ht="42.75" thickBot="1" x14ac:dyDescent="0.3">
      <c r="B17" s="3"/>
      <c r="C17" s="2" t="s">
        <v>15</v>
      </c>
      <c r="D17" s="2" t="s">
        <v>22</v>
      </c>
      <c r="E17" s="2" t="s">
        <v>13</v>
      </c>
      <c r="F17" s="2" t="s">
        <v>12</v>
      </c>
      <c r="G17" s="2" t="s">
        <v>11</v>
      </c>
      <c r="H17" s="2" t="s">
        <v>10</v>
      </c>
      <c r="I17" s="2" t="s">
        <v>9</v>
      </c>
    </row>
    <row r="18" spans="2:10" ht="114" thickTop="1" thickBot="1" x14ac:dyDescent="0.3">
      <c r="B18" s="403" t="s">
        <v>395</v>
      </c>
      <c r="C18" s="8" t="s">
        <v>83</v>
      </c>
      <c r="D18" s="20"/>
      <c r="E18" s="8" t="s">
        <v>84</v>
      </c>
      <c r="F18" s="7"/>
      <c r="G18" s="7">
        <v>3</v>
      </c>
      <c r="H18" s="7">
        <f t="shared" ref="H18:H24" si="0">F18*G18</f>
        <v>0</v>
      </c>
      <c r="I18" s="7">
        <f t="shared" ref="I18:I24" si="1">IF(F18=0,0,5*G18)</f>
        <v>0</v>
      </c>
    </row>
    <row r="19" spans="2:10" ht="113.25" thickBot="1" x14ac:dyDescent="0.3">
      <c r="B19" s="402" t="s">
        <v>396</v>
      </c>
      <c r="C19" s="6" t="s">
        <v>86</v>
      </c>
      <c r="D19" s="22"/>
      <c r="E19" s="6" t="s">
        <v>85</v>
      </c>
      <c r="F19" s="4"/>
      <c r="G19" s="4">
        <v>3</v>
      </c>
      <c r="H19" s="4">
        <f t="shared" si="0"/>
        <v>0</v>
      </c>
      <c r="I19" s="4">
        <f t="shared" si="1"/>
        <v>0</v>
      </c>
    </row>
    <row r="20" spans="2:10" ht="126" customHeight="1" thickBot="1" x14ac:dyDescent="0.3">
      <c r="B20" s="403" t="s">
        <v>397</v>
      </c>
      <c r="C20" s="8" t="s">
        <v>43</v>
      </c>
      <c r="D20" s="9"/>
      <c r="E20" s="8" t="s">
        <v>44</v>
      </c>
      <c r="F20" s="7"/>
      <c r="G20" s="7">
        <v>3</v>
      </c>
      <c r="H20" s="7">
        <f t="shared" si="0"/>
        <v>0</v>
      </c>
      <c r="I20" s="7">
        <f t="shared" si="1"/>
        <v>0</v>
      </c>
    </row>
    <row r="21" spans="2:10" ht="113.25" thickBot="1" x14ac:dyDescent="0.3">
      <c r="B21" s="402" t="s">
        <v>398</v>
      </c>
      <c r="C21" s="6" t="s">
        <v>41</v>
      </c>
      <c r="D21" s="5"/>
      <c r="E21" s="6" t="s">
        <v>42</v>
      </c>
      <c r="F21" s="4"/>
      <c r="G21" s="4">
        <v>3</v>
      </c>
      <c r="H21" s="4">
        <f t="shared" si="0"/>
        <v>0</v>
      </c>
      <c r="I21" s="4">
        <f t="shared" si="1"/>
        <v>0</v>
      </c>
    </row>
    <row r="22" spans="2:10" ht="121.9" customHeight="1" thickBot="1" x14ac:dyDescent="0.3">
      <c r="B22" s="403" t="s">
        <v>399</v>
      </c>
      <c r="C22" s="8" t="s">
        <v>96</v>
      </c>
      <c r="D22" s="9"/>
      <c r="E22" s="8" t="s">
        <v>45</v>
      </c>
      <c r="F22" s="7"/>
      <c r="G22" s="7">
        <v>2</v>
      </c>
      <c r="H22" s="7">
        <f t="shared" si="0"/>
        <v>0</v>
      </c>
      <c r="I22" s="7">
        <f t="shared" si="1"/>
        <v>0</v>
      </c>
    </row>
    <row r="23" spans="2:10" ht="97.15" customHeight="1" thickBot="1" x14ac:dyDescent="0.3">
      <c r="B23" s="402" t="s">
        <v>400</v>
      </c>
      <c r="C23" s="6" t="s">
        <v>88</v>
      </c>
      <c r="D23" s="23"/>
      <c r="E23" s="6" t="s">
        <v>87</v>
      </c>
      <c r="F23" s="4"/>
      <c r="G23" s="4">
        <v>2</v>
      </c>
      <c r="H23" s="4">
        <f t="shared" si="0"/>
        <v>0</v>
      </c>
      <c r="I23" s="4">
        <f t="shared" si="1"/>
        <v>0</v>
      </c>
    </row>
    <row r="24" spans="2:10" ht="19.5" thickBot="1" x14ac:dyDescent="0.3">
      <c r="B24" s="403"/>
      <c r="C24" s="8" t="s">
        <v>1</v>
      </c>
      <c r="D24" s="7" t="s">
        <v>1</v>
      </c>
      <c r="E24" s="7" t="s">
        <v>1</v>
      </c>
      <c r="F24" s="7">
        <v>0</v>
      </c>
      <c r="G24" s="7"/>
      <c r="H24" s="7">
        <f t="shared" si="0"/>
        <v>0</v>
      </c>
      <c r="I24" s="7">
        <f t="shared" si="1"/>
        <v>0</v>
      </c>
    </row>
    <row r="25" spans="2:10" ht="21.75" thickBot="1" x14ac:dyDescent="0.3">
      <c r="B25" s="3"/>
      <c r="C25" s="11"/>
      <c r="D25" s="10"/>
      <c r="E25" s="11"/>
      <c r="F25" s="10"/>
      <c r="G25" s="10"/>
      <c r="H25" s="10">
        <f>SUM(H18:H24)</f>
        <v>0</v>
      </c>
      <c r="I25" s="10">
        <f>SUM(I18:I24)</f>
        <v>0</v>
      </c>
    </row>
    <row r="26" spans="2:10" ht="16.5" thickTop="1" thickBot="1" x14ac:dyDescent="0.3"/>
    <row r="27" spans="2:10" ht="42.75" thickBot="1" x14ac:dyDescent="0.3">
      <c r="B27" s="3"/>
      <c r="C27" s="2" t="s">
        <v>15</v>
      </c>
      <c r="D27" s="2" t="s">
        <v>22</v>
      </c>
      <c r="E27" s="2" t="s">
        <v>13</v>
      </c>
      <c r="F27" s="2" t="s">
        <v>12</v>
      </c>
      <c r="G27" s="2" t="s">
        <v>11</v>
      </c>
      <c r="H27" s="2" t="s">
        <v>10</v>
      </c>
      <c r="I27" s="2" t="s">
        <v>9</v>
      </c>
    </row>
    <row r="28" spans="2:10" ht="114" thickTop="1" thickBot="1" x14ac:dyDescent="0.3">
      <c r="B28" s="402" t="s">
        <v>401</v>
      </c>
      <c r="C28" s="6" t="s">
        <v>100</v>
      </c>
      <c r="D28" s="18"/>
      <c r="E28" s="6" t="s">
        <v>20</v>
      </c>
      <c r="F28" s="4"/>
      <c r="G28" s="4">
        <v>3</v>
      </c>
      <c r="H28" s="4">
        <f t="shared" ref="H28:H35" si="2">F28*G28</f>
        <v>0</v>
      </c>
      <c r="I28" s="24">
        <f t="shared" ref="I28:I35" si="3">IF(F28=0,0,5*G28)</f>
        <v>0</v>
      </c>
    </row>
    <row r="29" spans="2:10" ht="113.25" thickBot="1" x14ac:dyDescent="0.3">
      <c r="B29" s="403" t="s">
        <v>402</v>
      </c>
      <c r="C29" s="8" t="s">
        <v>63</v>
      </c>
      <c r="D29" s="9"/>
      <c r="E29" s="8" t="s">
        <v>89</v>
      </c>
      <c r="F29" s="7"/>
      <c r="G29" s="7">
        <v>3</v>
      </c>
      <c r="H29" s="7">
        <f t="shared" si="2"/>
        <v>0</v>
      </c>
      <c r="I29" s="7">
        <f t="shared" si="3"/>
        <v>0</v>
      </c>
    </row>
    <row r="30" spans="2:10" ht="114" thickTop="1" thickBot="1" x14ac:dyDescent="0.3">
      <c r="B30" s="402" t="s">
        <v>403</v>
      </c>
      <c r="C30" s="6" t="s">
        <v>381</v>
      </c>
      <c r="D30" s="18"/>
      <c r="E30" s="378" t="s">
        <v>385</v>
      </c>
      <c r="F30" s="4"/>
      <c r="G30" s="4">
        <v>3</v>
      </c>
      <c r="H30" s="4">
        <f t="shared" si="2"/>
        <v>0</v>
      </c>
      <c r="I30" s="24">
        <f t="shared" si="3"/>
        <v>0</v>
      </c>
      <c r="J30" s="380"/>
    </row>
    <row r="31" spans="2:10" ht="113.25" thickBot="1" x14ac:dyDescent="0.3">
      <c r="B31" s="403" t="s">
        <v>404</v>
      </c>
      <c r="C31" s="8" t="s">
        <v>386</v>
      </c>
      <c r="D31" s="19"/>
      <c r="E31" s="379" t="s">
        <v>387</v>
      </c>
      <c r="F31" s="7"/>
      <c r="G31" s="7">
        <v>2</v>
      </c>
      <c r="H31" s="7">
        <f t="shared" si="2"/>
        <v>0</v>
      </c>
      <c r="I31" s="7">
        <f t="shared" si="3"/>
        <v>0</v>
      </c>
      <c r="J31" s="380"/>
    </row>
    <row r="32" spans="2:10" ht="113.25" thickBot="1" x14ac:dyDescent="0.3">
      <c r="B32" s="402" t="s">
        <v>405</v>
      </c>
      <c r="C32" s="6" t="s">
        <v>18</v>
      </c>
      <c r="D32" s="25"/>
      <c r="E32" s="6" t="s">
        <v>90</v>
      </c>
      <c r="F32" s="4"/>
      <c r="G32" s="4">
        <v>2</v>
      </c>
      <c r="H32" s="4">
        <f t="shared" si="2"/>
        <v>0</v>
      </c>
      <c r="I32" s="4">
        <f t="shared" si="3"/>
        <v>0</v>
      </c>
    </row>
    <row r="33" spans="2:9" ht="113.25" thickBot="1" x14ac:dyDescent="0.3">
      <c r="B33" s="403" t="s">
        <v>406</v>
      </c>
      <c r="C33" s="8" t="s">
        <v>91</v>
      </c>
      <c r="D33" s="19"/>
      <c r="E33" s="8" t="s">
        <v>92</v>
      </c>
      <c r="F33" s="7"/>
      <c r="G33" s="7">
        <v>2</v>
      </c>
      <c r="H33" s="7">
        <f t="shared" si="2"/>
        <v>0</v>
      </c>
      <c r="I33" s="7">
        <f t="shared" si="3"/>
        <v>0</v>
      </c>
    </row>
    <row r="34" spans="2:9" ht="116.25" customHeight="1" thickBot="1" x14ac:dyDescent="0.3">
      <c r="B34" s="402" t="s">
        <v>407</v>
      </c>
      <c r="C34" s="6" t="s">
        <v>97</v>
      </c>
      <c r="D34" s="4"/>
      <c r="E34" s="6" t="s">
        <v>60</v>
      </c>
      <c r="F34" s="4"/>
      <c r="G34" s="4">
        <v>1</v>
      </c>
      <c r="H34" s="4">
        <f t="shared" si="2"/>
        <v>0</v>
      </c>
      <c r="I34" s="4">
        <f t="shared" si="3"/>
        <v>0</v>
      </c>
    </row>
    <row r="35" spans="2:9" ht="72" customHeight="1" thickBot="1" x14ac:dyDescent="0.3">
      <c r="B35" s="403"/>
      <c r="C35" s="8" t="s">
        <v>1</v>
      </c>
      <c r="D35" s="7" t="s">
        <v>1</v>
      </c>
      <c r="E35" s="7" t="s">
        <v>1</v>
      </c>
      <c r="F35" s="7">
        <v>0</v>
      </c>
      <c r="G35" s="7"/>
      <c r="H35" s="7">
        <f t="shared" si="2"/>
        <v>0</v>
      </c>
      <c r="I35" s="7">
        <f t="shared" si="3"/>
        <v>0</v>
      </c>
    </row>
    <row r="36" spans="2:9" ht="21.75" thickBot="1" x14ac:dyDescent="0.3">
      <c r="B36" s="3"/>
      <c r="C36" s="3"/>
      <c r="D36" s="2"/>
      <c r="E36" s="2"/>
      <c r="F36" s="2"/>
      <c r="G36" s="2"/>
      <c r="H36" s="2">
        <f>SUM(H28:H35)</f>
        <v>0</v>
      </c>
      <c r="I36" s="2">
        <f>SUM(I28:I35)</f>
        <v>0</v>
      </c>
    </row>
    <row r="37" spans="2:9" ht="16.5" thickTop="1" thickBot="1" x14ac:dyDescent="0.3"/>
    <row r="38" spans="2:9" ht="42.75" thickBot="1" x14ac:dyDescent="0.3">
      <c r="B38" s="3"/>
      <c r="C38" s="2" t="s">
        <v>15</v>
      </c>
      <c r="D38" s="2" t="s">
        <v>14</v>
      </c>
      <c r="E38" s="2" t="s">
        <v>13</v>
      </c>
      <c r="F38" s="2" t="s">
        <v>12</v>
      </c>
      <c r="G38" s="2" t="s">
        <v>11</v>
      </c>
      <c r="H38" s="2" t="s">
        <v>10</v>
      </c>
      <c r="I38" s="2" t="s">
        <v>9</v>
      </c>
    </row>
    <row r="39" spans="2:9" ht="132.75" thickTop="1" thickBot="1" x14ac:dyDescent="0.3">
      <c r="B39" s="402" t="s">
        <v>408</v>
      </c>
      <c r="C39" s="6" t="s">
        <v>382</v>
      </c>
      <c r="D39" s="5"/>
      <c r="E39" s="378" t="s">
        <v>389</v>
      </c>
      <c r="F39" s="4"/>
      <c r="G39" s="4">
        <v>3</v>
      </c>
      <c r="H39" s="4">
        <f t="shared" ref="H39:H48" si="4">F39*G39</f>
        <v>0</v>
      </c>
      <c r="I39" s="4">
        <f t="shared" ref="I39:I48" si="5">IF(F39=0,0,5*G39)</f>
        <v>0</v>
      </c>
    </row>
    <row r="40" spans="2:9" ht="132" thickBot="1" x14ac:dyDescent="0.3">
      <c r="B40" s="403" t="s">
        <v>409</v>
      </c>
      <c r="C40" s="8" t="s">
        <v>55</v>
      </c>
      <c r="D40" s="9"/>
      <c r="E40" s="8" t="s">
        <v>93</v>
      </c>
      <c r="F40" s="7"/>
      <c r="G40" s="7">
        <v>3</v>
      </c>
      <c r="H40" s="7">
        <f t="shared" si="4"/>
        <v>0</v>
      </c>
      <c r="I40" s="7">
        <f t="shared" si="5"/>
        <v>0</v>
      </c>
    </row>
    <row r="41" spans="2:9" ht="115.5" customHeight="1" thickBot="1" x14ac:dyDescent="0.3">
      <c r="B41" s="402" t="s">
        <v>410</v>
      </c>
      <c r="C41" s="6" t="s">
        <v>57</v>
      </c>
      <c r="D41" s="18"/>
      <c r="E41" s="6" t="s">
        <v>58</v>
      </c>
      <c r="F41" s="4"/>
      <c r="G41" s="4">
        <v>2</v>
      </c>
      <c r="H41" s="4">
        <f t="shared" si="4"/>
        <v>0</v>
      </c>
      <c r="I41" s="4">
        <f t="shared" si="5"/>
        <v>0</v>
      </c>
    </row>
    <row r="42" spans="2:9" ht="78.599999999999994" customHeight="1" thickBot="1" x14ac:dyDescent="0.3">
      <c r="B42" s="403" t="s">
        <v>411</v>
      </c>
      <c r="C42" s="8" t="s">
        <v>383</v>
      </c>
      <c r="D42" s="381"/>
      <c r="E42" s="8" t="s">
        <v>384</v>
      </c>
      <c r="F42" s="7"/>
      <c r="G42" s="7">
        <v>2</v>
      </c>
      <c r="H42" s="7">
        <f t="shared" si="4"/>
        <v>0</v>
      </c>
      <c r="I42" s="7">
        <f t="shared" si="5"/>
        <v>0</v>
      </c>
    </row>
    <row r="43" spans="2:9" ht="113.25" thickBot="1" x14ac:dyDescent="0.3">
      <c r="B43" s="402" t="s">
        <v>413</v>
      </c>
      <c r="C43" s="6" t="s">
        <v>99</v>
      </c>
      <c r="D43" s="5"/>
      <c r="E43" s="6" t="s">
        <v>67</v>
      </c>
      <c r="F43" s="4"/>
      <c r="G43" s="4">
        <v>2</v>
      </c>
      <c r="H43" s="4">
        <f t="shared" si="4"/>
        <v>0</v>
      </c>
      <c r="I43" s="4">
        <f t="shared" si="5"/>
        <v>0</v>
      </c>
    </row>
    <row r="44" spans="2:9" ht="95.25" thickTop="1" thickBot="1" x14ac:dyDescent="0.3">
      <c r="B44" s="403" t="s">
        <v>412</v>
      </c>
      <c r="C44" s="8" t="s">
        <v>5</v>
      </c>
      <c r="D44" s="9"/>
      <c r="E44" s="21" t="s">
        <v>61</v>
      </c>
      <c r="F44" s="7"/>
      <c r="G44" s="7">
        <v>1</v>
      </c>
      <c r="H44" s="7">
        <f t="shared" si="4"/>
        <v>0</v>
      </c>
      <c r="I44" s="7">
        <f t="shared" si="5"/>
        <v>0</v>
      </c>
    </row>
    <row r="45" spans="2:9" ht="195.75" customHeight="1" thickBot="1" x14ac:dyDescent="0.3">
      <c r="B45" s="402" t="s">
        <v>414</v>
      </c>
      <c r="C45" s="6" t="s">
        <v>3</v>
      </c>
      <c r="D45" s="25"/>
      <c r="E45" s="6" t="s">
        <v>62</v>
      </c>
      <c r="F45" s="4"/>
      <c r="G45" s="4">
        <v>1</v>
      </c>
      <c r="H45" s="4">
        <f t="shared" si="4"/>
        <v>0</v>
      </c>
      <c r="I45" s="4">
        <f t="shared" si="5"/>
        <v>0</v>
      </c>
    </row>
    <row r="46" spans="2:9" ht="132" thickBot="1" x14ac:dyDescent="0.3">
      <c r="B46" s="403" t="s">
        <v>415</v>
      </c>
      <c r="C46" s="8" t="s">
        <v>59</v>
      </c>
      <c r="D46" s="19"/>
      <c r="E46" s="8" t="s">
        <v>94</v>
      </c>
      <c r="F46" s="7"/>
      <c r="G46" s="7">
        <v>1</v>
      </c>
      <c r="H46" s="7">
        <f t="shared" si="4"/>
        <v>0</v>
      </c>
      <c r="I46" s="7">
        <f t="shared" si="5"/>
        <v>0</v>
      </c>
    </row>
    <row r="47" spans="2:9" ht="135" customHeight="1" thickBot="1" x14ac:dyDescent="0.3">
      <c r="B47" s="402" t="s">
        <v>416</v>
      </c>
      <c r="C47" s="6" t="s">
        <v>98</v>
      </c>
      <c r="D47" s="26"/>
      <c r="E47" s="6" t="s">
        <v>95</v>
      </c>
      <c r="F47" s="4"/>
      <c r="G47" s="4">
        <v>1</v>
      </c>
      <c r="H47" s="4">
        <f t="shared" si="4"/>
        <v>0</v>
      </c>
      <c r="I47" s="4">
        <f t="shared" si="5"/>
        <v>0</v>
      </c>
    </row>
    <row r="48" spans="2:9" ht="20.25" thickTop="1" thickBot="1" x14ac:dyDescent="0.3">
      <c r="B48" s="403"/>
      <c r="C48" s="8" t="s">
        <v>1</v>
      </c>
      <c r="D48" s="9" t="s">
        <v>1</v>
      </c>
      <c r="E48" s="21" t="s">
        <v>1</v>
      </c>
      <c r="F48" s="7"/>
      <c r="G48" s="7"/>
      <c r="H48" s="7">
        <f t="shared" si="4"/>
        <v>0</v>
      </c>
      <c r="I48" s="7">
        <f t="shared" si="5"/>
        <v>0</v>
      </c>
    </row>
    <row r="49" spans="2:9" ht="21.75" thickBot="1" x14ac:dyDescent="0.3">
      <c r="B49" s="3"/>
      <c r="C49" s="3"/>
      <c r="D49" s="2"/>
      <c r="E49" s="2"/>
      <c r="F49" s="2"/>
      <c r="G49" s="2"/>
      <c r="H49" s="2">
        <f>SUM(H39:H48)</f>
        <v>0</v>
      </c>
      <c r="I49" s="2">
        <f>SUM(I39:I48)</f>
        <v>0</v>
      </c>
    </row>
    <row r="50" spans="2:9" ht="15.75" thickTop="1" x14ac:dyDescent="0.25"/>
  </sheetData>
  <mergeCells count="18">
    <mergeCell ref="C15:F15"/>
    <mergeCell ref="G15:H15"/>
    <mergeCell ref="C13:F13"/>
    <mergeCell ref="G13:H13"/>
    <mergeCell ref="C14:F14"/>
    <mergeCell ref="G14:H14"/>
    <mergeCell ref="B2:G2"/>
    <mergeCell ref="B3:G3"/>
    <mergeCell ref="B4:G4"/>
    <mergeCell ref="B5:G5"/>
    <mergeCell ref="C12:F12"/>
    <mergeCell ref="G12:H12"/>
    <mergeCell ref="C9:F9"/>
    <mergeCell ref="G9:H9"/>
    <mergeCell ref="C10:F10"/>
    <mergeCell ref="G10:H10"/>
    <mergeCell ref="C11:F11"/>
    <mergeCell ref="G11:H11"/>
  </mergeCells>
  <phoneticPr fontId="57" type="noConversion"/>
  <pageMargins left="0.7" right="0.53" top="0.75" bottom="0.75" header="0.3" footer="0.3"/>
  <pageSetup scale="46" orientation="portrait" horizontalDpi="300" verticalDpi="300" r:id="rId1"/>
  <headerFooter>
    <oddFooter>Page &amp;P</oddFooter>
  </headerFooter>
  <rowBreaks count="2" manualBreakCount="2">
    <brk id="26" max="16383" man="1"/>
    <brk id="3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M50"/>
  <sheetViews>
    <sheetView showGridLines="0" view="pageBreakPreview" zoomScale="80" zoomScaleNormal="60" zoomScaleSheetLayoutView="80" workbookViewId="0">
      <selection activeCell="B3" sqref="B3:G3"/>
    </sheetView>
  </sheetViews>
  <sheetFormatPr defaultColWidth="8.85546875" defaultRowHeight="15" x14ac:dyDescent="0.25"/>
  <cols>
    <col min="1" max="1" width="1.7109375" style="1" customWidth="1"/>
    <col min="2" max="2" width="5.85546875" style="1" customWidth="1"/>
    <col min="3" max="3" width="38.7109375" style="1" customWidth="1"/>
    <col min="4" max="4" width="21.7109375" style="28" customWidth="1"/>
    <col min="5" max="5" width="32.140625" style="28" customWidth="1"/>
    <col min="6" max="6" width="14.7109375" style="28" customWidth="1"/>
    <col min="7" max="7" width="9.28515625" style="28" bestFit="1" customWidth="1"/>
    <col min="8" max="8" width="17.7109375" style="28" bestFit="1" customWidth="1"/>
    <col min="9" max="9" width="12.28515625" style="1" customWidth="1"/>
    <col min="10" max="10" width="37.28515625" style="1" customWidth="1"/>
    <col min="11" max="12" width="8.85546875" style="1"/>
    <col min="13" max="13" width="10.5703125" style="1" bestFit="1" customWidth="1"/>
    <col min="14" max="16384" width="8.85546875" style="1"/>
  </cols>
  <sheetData>
    <row r="2" spans="2:13" ht="23.45" customHeight="1" x14ac:dyDescent="0.25">
      <c r="B2" s="415" t="s">
        <v>40</v>
      </c>
      <c r="C2" s="415"/>
      <c r="D2" s="415"/>
      <c r="E2" s="415"/>
      <c r="F2" s="415"/>
      <c r="G2" s="415"/>
    </row>
    <row r="3" spans="2:13" ht="23.45" customHeight="1" x14ac:dyDescent="0.25">
      <c r="B3" s="415" t="s">
        <v>39</v>
      </c>
      <c r="C3" s="415"/>
      <c r="D3" s="415"/>
      <c r="E3" s="415"/>
      <c r="F3" s="415"/>
      <c r="G3" s="415"/>
    </row>
    <row r="4" spans="2:13" ht="23.45" customHeight="1" x14ac:dyDescent="0.25">
      <c r="B4" s="415" t="s">
        <v>38</v>
      </c>
      <c r="C4" s="415"/>
      <c r="D4" s="415"/>
      <c r="E4" s="415"/>
      <c r="F4" s="415"/>
      <c r="G4" s="415"/>
    </row>
    <row r="5" spans="2:13" ht="15.75" thickBot="1" x14ac:dyDescent="0.3">
      <c r="B5" s="416"/>
      <c r="C5" s="416"/>
      <c r="D5" s="416"/>
      <c r="E5" s="416"/>
      <c r="F5" s="416"/>
      <c r="G5" s="416"/>
    </row>
    <row r="6" spans="2:13" ht="21.75" thickBot="1" x14ac:dyDescent="0.3">
      <c r="B6" s="2"/>
      <c r="C6" s="2" t="s">
        <v>393</v>
      </c>
    </row>
    <row r="7" spans="2:13" ht="22.5" thickTop="1" thickBot="1" x14ac:dyDescent="0.3">
      <c r="B7" s="2"/>
      <c r="C7" s="2" t="s">
        <v>392</v>
      </c>
    </row>
    <row r="8" spans="2:13" ht="6" customHeight="1" thickTop="1" thickBot="1" x14ac:dyDescent="0.3">
      <c r="C8" s="16"/>
    </row>
    <row r="9" spans="2:13" ht="21.75" thickBot="1" x14ac:dyDescent="0.3">
      <c r="B9" s="2"/>
      <c r="C9" s="422"/>
      <c r="D9" s="423"/>
      <c r="E9" s="423"/>
      <c r="F9" s="424"/>
      <c r="G9" s="425"/>
      <c r="H9" s="426"/>
      <c r="I9" s="15"/>
    </row>
    <row r="10" spans="2:13" ht="39.950000000000003" customHeight="1" thickTop="1" thickBot="1" x14ac:dyDescent="0.3">
      <c r="B10" s="403"/>
      <c r="C10" s="427" t="s">
        <v>35</v>
      </c>
      <c r="D10" s="428"/>
      <c r="E10" s="428"/>
      <c r="F10" s="429"/>
      <c r="G10" s="420"/>
      <c r="H10" s="421"/>
      <c r="I10" s="12"/>
      <c r="K10" s="13"/>
      <c r="L10" s="28"/>
      <c r="M10" s="13"/>
    </row>
    <row r="11" spans="2:13" ht="39.950000000000003" customHeight="1" thickBot="1" x14ac:dyDescent="0.3">
      <c r="B11" s="402"/>
      <c r="C11" s="430" t="s">
        <v>64</v>
      </c>
      <c r="D11" s="431"/>
      <c r="E11" s="431"/>
      <c r="F11" s="432"/>
      <c r="G11" s="442"/>
      <c r="H11" s="443"/>
      <c r="I11" s="12"/>
      <c r="K11" s="13"/>
      <c r="L11" s="28"/>
      <c r="M11" s="13"/>
    </row>
    <row r="12" spans="2:13" ht="39.950000000000003" customHeight="1" thickTop="1" thickBot="1" x14ac:dyDescent="0.3">
      <c r="B12" s="403"/>
      <c r="C12" s="417" t="s">
        <v>32</v>
      </c>
      <c r="D12" s="418"/>
      <c r="E12" s="418"/>
      <c r="F12" s="419"/>
      <c r="G12" s="420">
        <f>SUM(G10:H11)</f>
        <v>0</v>
      </c>
      <c r="H12" s="421"/>
      <c r="I12" s="14"/>
      <c r="K12" s="13"/>
      <c r="L12" s="28"/>
      <c r="M12" s="13"/>
    </row>
    <row r="13" spans="2:13" ht="39.950000000000003" customHeight="1" thickBot="1" x14ac:dyDescent="0.3">
      <c r="B13" s="402"/>
      <c r="C13" s="434" t="s">
        <v>30</v>
      </c>
      <c r="D13" s="435"/>
      <c r="E13" s="435"/>
      <c r="F13" s="436"/>
      <c r="G13" s="444"/>
      <c r="H13" s="445"/>
      <c r="I13" s="12"/>
      <c r="K13" s="13"/>
      <c r="L13" s="28"/>
      <c r="M13" s="13"/>
    </row>
    <row r="14" spans="2:13" ht="39.950000000000003" customHeight="1" thickBot="1" x14ac:dyDescent="0.3">
      <c r="B14" s="403"/>
      <c r="C14" s="427" t="s">
        <v>28</v>
      </c>
      <c r="D14" s="428"/>
      <c r="E14" s="428"/>
      <c r="F14" s="429"/>
      <c r="G14" s="439"/>
      <c r="H14" s="438"/>
      <c r="I14" s="12"/>
      <c r="K14" s="13"/>
      <c r="L14" s="28"/>
      <c r="M14" s="13"/>
    </row>
    <row r="15" spans="2:13" ht="39.950000000000003" customHeight="1" thickBot="1" x14ac:dyDescent="0.3">
      <c r="B15" s="402"/>
      <c r="C15" s="434" t="s">
        <v>26</v>
      </c>
      <c r="D15" s="435"/>
      <c r="E15" s="435"/>
      <c r="F15" s="436"/>
      <c r="G15" s="437"/>
      <c r="H15" s="438"/>
      <c r="I15" s="12"/>
    </row>
    <row r="16" spans="2:13" ht="15.75" thickBot="1" x14ac:dyDescent="0.3"/>
    <row r="17" spans="2:10" ht="42.75" thickBot="1" x14ac:dyDescent="0.3">
      <c r="B17" s="3"/>
      <c r="C17" s="2" t="s">
        <v>15</v>
      </c>
      <c r="D17" s="2" t="s">
        <v>22</v>
      </c>
      <c r="E17" s="2" t="s">
        <v>13</v>
      </c>
      <c r="F17" s="2" t="s">
        <v>12</v>
      </c>
      <c r="G17" s="2" t="s">
        <v>11</v>
      </c>
      <c r="H17" s="2" t="s">
        <v>10</v>
      </c>
      <c r="I17" s="2" t="s">
        <v>9</v>
      </c>
    </row>
    <row r="18" spans="2:10" ht="114" thickTop="1" thickBot="1" x14ac:dyDescent="0.3">
      <c r="B18" s="403" t="s">
        <v>395</v>
      </c>
      <c r="C18" s="8" t="s">
        <v>83</v>
      </c>
      <c r="D18" s="20"/>
      <c r="E18" s="8" t="s">
        <v>84</v>
      </c>
      <c r="F18" s="7"/>
      <c r="G18" s="7">
        <v>3</v>
      </c>
      <c r="H18" s="7">
        <f t="shared" ref="H18:H24" si="0">F18*G18</f>
        <v>0</v>
      </c>
      <c r="I18" s="7">
        <f t="shared" ref="I18:I24" si="1">IF(F18=0,0,5*G18)</f>
        <v>0</v>
      </c>
    </row>
    <row r="19" spans="2:10" ht="113.25" thickBot="1" x14ac:dyDescent="0.3">
      <c r="B19" s="402" t="s">
        <v>396</v>
      </c>
      <c r="C19" s="6" t="s">
        <v>86</v>
      </c>
      <c r="D19" s="22"/>
      <c r="E19" s="6" t="s">
        <v>85</v>
      </c>
      <c r="F19" s="4"/>
      <c r="G19" s="4">
        <v>3</v>
      </c>
      <c r="H19" s="4">
        <f t="shared" si="0"/>
        <v>0</v>
      </c>
      <c r="I19" s="4">
        <f t="shared" si="1"/>
        <v>0</v>
      </c>
    </row>
    <row r="20" spans="2:10" ht="126" customHeight="1" thickBot="1" x14ac:dyDescent="0.3">
      <c r="B20" s="403" t="s">
        <v>397</v>
      </c>
      <c r="C20" s="8" t="s">
        <v>43</v>
      </c>
      <c r="D20" s="9"/>
      <c r="E20" s="8" t="s">
        <v>44</v>
      </c>
      <c r="F20" s="7"/>
      <c r="G20" s="7">
        <v>3</v>
      </c>
      <c r="H20" s="7">
        <f t="shared" si="0"/>
        <v>0</v>
      </c>
      <c r="I20" s="7">
        <f t="shared" si="1"/>
        <v>0</v>
      </c>
    </row>
    <row r="21" spans="2:10" ht="113.25" thickBot="1" x14ac:dyDescent="0.3">
      <c r="B21" s="402" t="s">
        <v>398</v>
      </c>
      <c r="C21" s="6" t="s">
        <v>41</v>
      </c>
      <c r="D21" s="5"/>
      <c r="E21" s="6" t="s">
        <v>42</v>
      </c>
      <c r="F21" s="4"/>
      <c r="G21" s="4">
        <v>3</v>
      </c>
      <c r="H21" s="4">
        <f t="shared" si="0"/>
        <v>0</v>
      </c>
      <c r="I21" s="4">
        <f t="shared" si="1"/>
        <v>0</v>
      </c>
    </row>
    <row r="22" spans="2:10" ht="121.9" customHeight="1" thickBot="1" x14ac:dyDescent="0.3">
      <c r="B22" s="403" t="s">
        <v>399</v>
      </c>
      <c r="C22" s="8" t="s">
        <v>96</v>
      </c>
      <c r="D22" s="9"/>
      <c r="E22" s="8" t="s">
        <v>45</v>
      </c>
      <c r="F22" s="7"/>
      <c r="G22" s="7">
        <v>2</v>
      </c>
      <c r="H22" s="7">
        <f t="shared" si="0"/>
        <v>0</v>
      </c>
      <c r="I22" s="7">
        <f t="shared" si="1"/>
        <v>0</v>
      </c>
    </row>
    <row r="23" spans="2:10" ht="97.15" customHeight="1" thickBot="1" x14ac:dyDescent="0.3">
      <c r="B23" s="402" t="s">
        <v>400</v>
      </c>
      <c r="C23" s="6" t="s">
        <v>88</v>
      </c>
      <c r="D23" s="23"/>
      <c r="E23" s="6" t="s">
        <v>87</v>
      </c>
      <c r="F23" s="4"/>
      <c r="G23" s="4">
        <v>2</v>
      </c>
      <c r="H23" s="4">
        <f t="shared" si="0"/>
        <v>0</v>
      </c>
      <c r="I23" s="4">
        <f t="shared" si="1"/>
        <v>0</v>
      </c>
    </row>
    <row r="24" spans="2:10" ht="19.5" thickBot="1" x14ac:dyDescent="0.3">
      <c r="B24" s="403"/>
      <c r="C24" s="8" t="s">
        <v>1</v>
      </c>
      <c r="D24" s="7" t="s">
        <v>1</v>
      </c>
      <c r="E24" s="7" t="s">
        <v>1</v>
      </c>
      <c r="F24" s="7">
        <v>0</v>
      </c>
      <c r="G24" s="7"/>
      <c r="H24" s="7">
        <f t="shared" si="0"/>
        <v>0</v>
      </c>
      <c r="I24" s="7">
        <f t="shared" si="1"/>
        <v>0</v>
      </c>
    </row>
    <row r="25" spans="2:10" ht="21.75" thickBot="1" x14ac:dyDescent="0.3">
      <c r="B25" s="3"/>
      <c r="C25" s="11"/>
      <c r="D25" s="10"/>
      <c r="E25" s="11"/>
      <c r="F25" s="10"/>
      <c r="G25" s="10"/>
      <c r="H25" s="10">
        <f>SUM(H18:H24)</f>
        <v>0</v>
      </c>
      <c r="I25" s="10">
        <f>SUM(I18:I24)</f>
        <v>0</v>
      </c>
    </row>
    <row r="26" spans="2:10" ht="16.5" thickTop="1" thickBot="1" x14ac:dyDescent="0.3"/>
    <row r="27" spans="2:10" ht="42.75" thickBot="1" x14ac:dyDescent="0.3">
      <c r="B27" s="3"/>
      <c r="C27" s="2" t="s">
        <v>15</v>
      </c>
      <c r="D27" s="2" t="s">
        <v>22</v>
      </c>
      <c r="E27" s="2" t="s">
        <v>13</v>
      </c>
      <c r="F27" s="2" t="s">
        <v>12</v>
      </c>
      <c r="G27" s="2" t="s">
        <v>11</v>
      </c>
      <c r="H27" s="2" t="s">
        <v>10</v>
      </c>
      <c r="I27" s="2" t="s">
        <v>9</v>
      </c>
    </row>
    <row r="28" spans="2:10" ht="114" thickTop="1" thickBot="1" x14ac:dyDescent="0.3">
      <c r="B28" s="402" t="s">
        <v>401</v>
      </c>
      <c r="C28" s="6" t="s">
        <v>100</v>
      </c>
      <c r="D28" s="18"/>
      <c r="E28" s="6" t="s">
        <v>20</v>
      </c>
      <c r="F28" s="4"/>
      <c r="G28" s="4">
        <v>3</v>
      </c>
      <c r="H28" s="4">
        <f t="shared" ref="H28:H35" si="2">F28*G28</f>
        <v>0</v>
      </c>
      <c r="I28" s="24">
        <f t="shared" ref="I28:I35" si="3">IF(F28=0,0,5*G28)</f>
        <v>0</v>
      </c>
    </row>
    <row r="29" spans="2:10" ht="113.25" thickBot="1" x14ac:dyDescent="0.3">
      <c r="B29" s="403" t="s">
        <v>402</v>
      </c>
      <c r="C29" s="8" t="s">
        <v>63</v>
      </c>
      <c r="D29" s="9"/>
      <c r="E29" s="8" t="s">
        <v>89</v>
      </c>
      <c r="F29" s="7"/>
      <c r="G29" s="7">
        <v>3</v>
      </c>
      <c r="H29" s="7">
        <f t="shared" si="2"/>
        <v>0</v>
      </c>
      <c r="I29" s="7">
        <f t="shared" si="3"/>
        <v>0</v>
      </c>
    </row>
    <row r="30" spans="2:10" ht="114" thickTop="1" thickBot="1" x14ac:dyDescent="0.3">
      <c r="B30" s="402" t="s">
        <v>403</v>
      </c>
      <c r="C30" s="6" t="s">
        <v>381</v>
      </c>
      <c r="D30" s="18"/>
      <c r="E30" s="378" t="s">
        <v>385</v>
      </c>
      <c r="F30" s="4"/>
      <c r="G30" s="4">
        <v>3</v>
      </c>
      <c r="H30" s="4">
        <f t="shared" si="2"/>
        <v>0</v>
      </c>
      <c r="I30" s="24">
        <f t="shared" si="3"/>
        <v>0</v>
      </c>
      <c r="J30" s="380"/>
    </row>
    <row r="31" spans="2:10" ht="113.25" thickBot="1" x14ac:dyDescent="0.3">
      <c r="B31" s="403" t="s">
        <v>404</v>
      </c>
      <c r="C31" s="8" t="s">
        <v>386</v>
      </c>
      <c r="D31" s="19"/>
      <c r="E31" s="379" t="s">
        <v>387</v>
      </c>
      <c r="F31" s="7"/>
      <c r="G31" s="7">
        <v>2</v>
      </c>
      <c r="H31" s="7">
        <f t="shared" si="2"/>
        <v>0</v>
      </c>
      <c r="I31" s="7">
        <f t="shared" si="3"/>
        <v>0</v>
      </c>
      <c r="J31" s="380"/>
    </row>
    <row r="32" spans="2:10" ht="113.25" thickBot="1" x14ac:dyDescent="0.3">
      <c r="B32" s="402" t="s">
        <v>405</v>
      </c>
      <c r="C32" s="6" t="s">
        <v>18</v>
      </c>
      <c r="D32" s="25"/>
      <c r="E32" s="6" t="s">
        <v>90</v>
      </c>
      <c r="F32" s="4"/>
      <c r="G32" s="4">
        <v>2</v>
      </c>
      <c r="H32" s="4">
        <f t="shared" si="2"/>
        <v>0</v>
      </c>
      <c r="I32" s="4">
        <f t="shared" si="3"/>
        <v>0</v>
      </c>
    </row>
    <row r="33" spans="2:9" ht="113.25" thickBot="1" x14ac:dyDescent="0.3">
      <c r="B33" s="403" t="s">
        <v>406</v>
      </c>
      <c r="C33" s="8" t="s">
        <v>91</v>
      </c>
      <c r="D33" s="19"/>
      <c r="E33" s="8" t="s">
        <v>92</v>
      </c>
      <c r="F33" s="7"/>
      <c r="G33" s="7">
        <v>2</v>
      </c>
      <c r="H33" s="7">
        <f t="shared" si="2"/>
        <v>0</v>
      </c>
      <c r="I33" s="7">
        <f t="shared" si="3"/>
        <v>0</v>
      </c>
    </row>
    <row r="34" spans="2:9" ht="116.25" customHeight="1" thickBot="1" x14ac:dyDescent="0.3">
      <c r="B34" s="402" t="s">
        <v>407</v>
      </c>
      <c r="C34" s="6" t="s">
        <v>97</v>
      </c>
      <c r="D34" s="4"/>
      <c r="E34" s="6" t="s">
        <v>60</v>
      </c>
      <c r="F34" s="4"/>
      <c r="G34" s="4">
        <v>1</v>
      </c>
      <c r="H34" s="4">
        <f t="shared" si="2"/>
        <v>0</v>
      </c>
      <c r="I34" s="4">
        <f t="shared" si="3"/>
        <v>0</v>
      </c>
    </row>
    <row r="35" spans="2:9" ht="75.75" customHeight="1" thickBot="1" x14ac:dyDescent="0.3">
      <c r="B35" s="403"/>
      <c r="C35" s="8" t="s">
        <v>1</v>
      </c>
      <c r="D35" s="7" t="s">
        <v>1</v>
      </c>
      <c r="E35" s="7" t="s">
        <v>1</v>
      </c>
      <c r="F35" s="7">
        <v>0</v>
      </c>
      <c r="G35" s="7"/>
      <c r="H35" s="7">
        <f t="shared" si="2"/>
        <v>0</v>
      </c>
      <c r="I35" s="7">
        <f t="shared" si="3"/>
        <v>0</v>
      </c>
    </row>
    <row r="36" spans="2:9" ht="21.75" thickBot="1" x14ac:dyDescent="0.3">
      <c r="B36" s="3"/>
      <c r="C36" s="3"/>
      <c r="D36" s="2"/>
      <c r="E36" s="2"/>
      <c r="F36" s="2"/>
      <c r="G36" s="2"/>
      <c r="H36" s="2">
        <f>SUM(H28:H35)</f>
        <v>0</v>
      </c>
      <c r="I36" s="2">
        <f>SUM(I28:I35)</f>
        <v>0</v>
      </c>
    </row>
    <row r="37" spans="2:9" ht="16.5" thickTop="1" thickBot="1" x14ac:dyDescent="0.3"/>
    <row r="38" spans="2:9" ht="42.75" thickBot="1" x14ac:dyDescent="0.3">
      <c r="B38" s="3"/>
      <c r="C38" s="2" t="s">
        <v>15</v>
      </c>
      <c r="D38" s="2" t="s">
        <v>14</v>
      </c>
      <c r="E38" s="2" t="s">
        <v>13</v>
      </c>
      <c r="F38" s="2" t="s">
        <v>12</v>
      </c>
      <c r="G38" s="2" t="s">
        <v>11</v>
      </c>
      <c r="H38" s="2" t="s">
        <v>10</v>
      </c>
      <c r="I38" s="2" t="s">
        <v>9</v>
      </c>
    </row>
    <row r="39" spans="2:9" ht="132.75" thickTop="1" thickBot="1" x14ac:dyDescent="0.3">
      <c r="B39" s="402" t="s">
        <v>408</v>
      </c>
      <c r="C39" s="6" t="s">
        <v>382</v>
      </c>
      <c r="D39" s="5"/>
      <c r="E39" s="378" t="s">
        <v>389</v>
      </c>
      <c r="F39" s="4"/>
      <c r="G39" s="4">
        <v>3</v>
      </c>
      <c r="H39" s="4">
        <f t="shared" ref="H39:H48" si="4">F39*G39</f>
        <v>0</v>
      </c>
      <c r="I39" s="4">
        <f t="shared" ref="I39:I48" si="5">IF(F39=0,0,5*G39)</f>
        <v>0</v>
      </c>
    </row>
    <row r="40" spans="2:9" ht="132" thickBot="1" x14ac:dyDescent="0.3">
      <c r="B40" s="403" t="s">
        <v>409</v>
      </c>
      <c r="C40" s="8" t="s">
        <v>55</v>
      </c>
      <c r="D40" s="9"/>
      <c r="E40" s="8" t="s">
        <v>93</v>
      </c>
      <c r="F40" s="7"/>
      <c r="G40" s="7">
        <v>3</v>
      </c>
      <c r="H40" s="7">
        <f t="shared" si="4"/>
        <v>0</v>
      </c>
      <c r="I40" s="7">
        <f t="shared" si="5"/>
        <v>0</v>
      </c>
    </row>
    <row r="41" spans="2:9" ht="115.5" customHeight="1" thickBot="1" x14ac:dyDescent="0.3">
      <c r="B41" s="402" t="s">
        <v>410</v>
      </c>
      <c r="C41" s="6" t="s">
        <v>57</v>
      </c>
      <c r="D41" s="18"/>
      <c r="E41" s="6" t="s">
        <v>58</v>
      </c>
      <c r="F41" s="4"/>
      <c r="G41" s="4">
        <v>2</v>
      </c>
      <c r="H41" s="4">
        <f t="shared" si="4"/>
        <v>0</v>
      </c>
      <c r="I41" s="4">
        <f t="shared" si="5"/>
        <v>0</v>
      </c>
    </row>
    <row r="42" spans="2:9" ht="78.599999999999994" customHeight="1" thickBot="1" x14ac:dyDescent="0.3">
      <c r="B42" s="403" t="s">
        <v>411</v>
      </c>
      <c r="C42" s="8" t="s">
        <v>383</v>
      </c>
      <c r="D42" s="381"/>
      <c r="E42" s="8" t="s">
        <v>384</v>
      </c>
      <c r="F42" s="7"/>
      <c r="G42" s="7">
        <v>2</v>
      </c>
      <c r="H42" s="7">
        <f t="shared" si="4"/>
        <v>0</v>
      </c>
      <c r="I42" s="7">
        <f t="shared" si="5"/>
        <v>0</v>
      </c>
    </row>
    <row r="43" spans="2:9" ht="113.25" thickBot="1" x14ac:dyDescent="0.3">
      <c r="B43" s="402" t="s">
        <v>413</v>
      </c>
      <c r="C43" s="6" t="s">
        <v>99</v>
      </c>
      <c r="D43" s="5"/>
      <c r="E43" s="6" t="s">
        <v>67</v>
      </c>
      <c r="F43" s="4"/>
      <c r="G43" s="4">
        <v>2</v>
      </c>
      <c r="H43" s="4">
        <f t="shared" si="4"/>
        <v>0</v>
      </c>
      <c r="I43" s="4">
        <f t="shared" si="5"/>
        <v>0</v>
      </c>
    </row>
    <row r="44" spans="2:9" ht="95.25" thickTop="1" thickBot="1" x14ac:dyDescent="0.3">
      <c r="B44" s="403" t="s">
        <v>412</v>
      </c>
      <c r="C44" s="8" t="s">
        <v>5</v>
      </c>
      <c r="D44" s="9"/>
      <c r="E44" s="21" t="s">
        <v>61</v>
      </c>
      <c r="F44" s="7"/>
      <c r="G44" s="7">
        <v>1</v>
      </c>
      <c r="H44" s="7">
        <f t="shared" si="4"/>
        <v>0</v>
      </c>
      <c r="I44" s="7">
        <f t="shared" si="5"/>
        <v>0</v>
      </c>
    </row>
    <row r="45" spans="2:9" ht="195.75" customHeight="1" thickBot="1" x14ac:dyDescent="0.3">
      <c r="B45" s="402" t="s">
        <v>414</v>
      </c>
      <c r="C45" s="6" t="s">
        <v>3</v>
      </c>
      <c r="D45" s="25"/>
      <c r="E45" s="378" t="s">
        <v>62</v>
      </c>
      <c r="F45" s="393"/>
      <c r="G45" s="4">
        <v>1</v>
      </c>
      <c r="H45" s="4">
        <f t="shared" si="4"/>
        <v>0</v>
      </c>
      <c r="I45" s="4">
        <f t="shared" si="5"/>
        <v>0</v>
      </c>
    </row>
    <row r="46" spans="2:9" ht="132" thickBot="1" x14ac:dyDescent="0.3">
      <c r="B46" s="403" t="s">
        <v>415</v>
      </c>
      <c r="C46" s="8" t="s">
        <v>59</v>
      </c>
      <c r="D46" s="19"/>
      <c r="E46" s="8" t="s">
        <v>94</v>
      </c>
      <c r="F46" s="7"/>
      <c r="G46" s="7">
        <v>1</v>
      </c>
      <c r="H46" s="7">
        <f t="shared" si="4"/>
        <v>0</v>
      </c>
      <c r="I46" s="7">
        <f t="shared" si="5"/>
        <v>0</v>
      </c>
    </row>
    <row r="47" spans="2:9" ht="135" customHeight="1" thickBot="1" x14ac:dyDescent="0.3">
      <c r="B47" s="402" t="s">
        <v>416</v>
      </c>
      <c r="C47" s="6" t="s">
        <v>98</v>
      </c>
      <c r="D47" s="26"/>
      <c r="E47" s="6" t="s">
        <v>95</v>
      </c>
      <c r="F47" s="4"/>
      <c r="G47" s="4">
        <v>1</v>
      </c>
      <c r="H47" s="4">
        <f t="shared" si="4"/>
        <v>0</v>
      </c>
      <c r="I47" s="4">
        <f t="shared" si="5"/>
        <v>0</v>
      </c>
    </row>
    <row r="48" spans="2:9" ht="20.25" thickTop="1" thickBot="1" x14ac:dyDescent="0.3">
      <c r="B48" s="403"/>
      <c r="C48" s="8" t="s">
        <v>1</v>
      </c>
      <c r="D48" s="9" t="s">
        <v>1</v>
      </c>
      <c r="E48" s="21" t="s">
        <v>1</v>
      </c>
      <c r="F48" s="7"/>
      <c r="G48" s="7"/>
      <c r="H48" s="7">
        <f t="shared" si="4"/>
        <v>0</v>
      </c>
      <c r="I48" s="7">
        <f t="shared" si="5"/>
        <v>0</v>
      </c>
    </row>
    <row r="49" spans="2:9" ht="21.75" thickBot="1" x14ac:dyDescent="0.3">
      <c r="B49" s="3"/>
      <c r="C49" s="3"/>
      <c r="D49" s="2"/>
      <c r="E49" s="2"/>
      <c r="F49" s="2"/>
      <c r="G49" s="2"/>
      <c r="H49" s="2">
        <f>SUM(H39:H48)</f>
        <v>0</v>
      </c>
      <c r="I49" s="2">
        <f>SUM(I39:I48)</f>
        <v>0</v>
      </c>
    </row>
    <row r="50" spans="2:9" ht="15.75" thickTop="1" x14ac:dyDescent="0.25"/>
  </sheetData>
  <mergeCells count="18">
    <mergeCell ref="C15:F15"/>
    <mergeCell ref="G15:H15"/>
    <mergeCell ref="C13:F13"/>
    <mergeCell ref="G13:H13"/>
    <mergeCell ref="C14:F14"/>
    <mergeCell ref="G14:H14"/>
    <mergeCell ref="B2:G2"/>
    <mergeCell ref="B3:G3"/>
    <mergeCell ref="B4:G4"/>
    <mergeCell ref="B5:G5"/>
    <mergeCell ref="C12:F12"/>
    <mergeCell ref="G12:H12"/>
    <mergeCell ref="C9:F9"/>
    <mergeCell ref="G9:H9"/>
    <mergeCell ref="C10:F10"/>
    <mergeCell ref="G10:H10"/>
    <mergeCell ref="C11:F11"/>
    <mergeCell ref="G11:H11"/>
  </mergeCells>
  <phoneticPr fontId="57" type="noConversion"/>
  <pageMargins left="0.7" right="0.53" top="0.75" bottom="0.75" header="0.3" footer="0.3"/>
  <pageSetup scale="46" orientation="portrait" horizontalDpi="300" verticalDpi="300" r:id="rId1"/>
  <headerFooter>
    <oddFooter>Page &amp;P</oddFooter>
  </headerFooter>
  <rowBreaks count="2" manualBreakCount="2">
    <brk id="26" max="16383" man="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B2:AB71"/>
  <sheetViews>
    <sheetView zoomScale="60" zoomScaleNormal="60" workbookViewId="0">
      <selection activeCell="I2" sqref="I2"/>
    </sheetView>
  </sheetViews>
  <sheetFormatPr defaultRowHeight="15" x14ac:dyDescent="0.25"/>
  <cols>
    <col min="2" max="2" width="12.140625" bestFit="1" customWidth="1"/>
    <col min="3" max="3" width="11.5703125" customWidth="1"/>
    <col min="4" max="4" width="14" customWidth="1"/>
    <col min="5" max="5" width="13.85546875" customWidth="1"/>
    <col min="6" max="6" width="11.5703125" customWidth="1"/>
    <col min="7" max="7" width="13.7109375" bestFit="1" customWidth="1"/>
    <col min="8" max="8" width="17" customWidth="1"/>
    <col min="9" max="9" width="9.28515625" customWidth="1"/>
    <col min="10" max="10" width="9.42578125" bestFit="1" customWidth="1"/>
    <col min="11" max="11" width="8.5703125" customWidth="1"/>
    <col min="12" max="12" width="11" bestFit="1" customWidth="1"/>
    <col min="13" max="15" width="10.140625" customWidth="1"/>
    <col min="16" max="16" width="11.140625" customWidth="1"/>
    <col min="17" max="17" width="12" customWidth="1"/>
    <col min="18" max="18" width="10.7109375" customWidth="1"/>
    <col min="19" max="19" width="13.7109375" customWidth="1"/>
    <col min="20" max="22" width="10.140625" customWidth="1"/>
    <col min="24" max="24" width="9.28515625" bestFit="1" customWidth="1"/>
    <col min="25" max="25" width="10" bestFit="1" customWidth="1"/>
  </cols>
  <sheetData>
    <row r="2" spans="2:28" x14ac:dyDescent="0.25">
      <c r="B2" s="52" t="s">
        <v>101</v>
      </c>
      <c r="C2" s="52"/>
      <c r="D2" t="s">
        <v>102</v>
      </c>
      <c r="E2" s="374"/>
      <c r="F2" s="52" t="s">
        <v>37</v>
      </c>
      <c r="G2" s="375"/>
      <c r="I2" s="53" t="s">
        <v>417</v>
      </c>
      <c r="J2" s="53"/>
      <c r="K2" s="53"/>
      <c r="L2" s="53"/>
      <c r="M2" s="53"/>
      <c r="O2" s="53"/>
      <c r="P2" s="53"/>
      <c r="Q2" s="53"/>
      <c r="R2" s="53"/>
      <c r="S2" s="53"/>
      <c r="T2" s="53"/>
      <c r="U2" s="53"/>
      <c r="V2" s="53"/>
      <c r="W2" s="53"/>
    </row>
    <row r="3" spans="2:28" ht="15.75" thickBot="1" x14ac:dyDescent="0.3">
      <c r="X3" s="54"/>
      <c r="Y3" s="54"/>
    </row>
    <row r="4" spans="2:28" ht="16.5" customHeight="1" thickBot="1" x14ac:dyDescent="0.3">
      <c r="B4" s="55"/>
      <c r="C4" s="56"/>
      <c r="D4" s="56"/>
      <c r="E4" s="56"/>
      <c r="F4" s="57" t="s">
        <v>103</v>
      </c>
      <c r="G4" s="373"/>
      <c r="H4" s="56"/>
      <c r="I4" s="56"/>
      <c r="J4" s="56"/>
      <c r="K4" s="56"/>
      <c r="L4" s="56"/>
      <c r="M4" s="56"/>
      <c r="N4" s="56"/>
      <c r="O4" s="56"/>
      <c r="P4" s="56"/>
      <c r="Q4" s="56"/>
      <c r="R4" s="56"/>
      <c r="S4" s="56"/>
      <c r="T4" s="56"/>
      <c r="U4" s="56"/>
      <c r="V4" s="56"/>
      <c r="W4" s="58"/>
      <c r="X4" s="55"/>
      <c r="Y4" s="58"/>
    </row>
    <row r="5" spans="2:28" ht="110.25" customHeight="1" thickBot="1" x14ac:dyDescent="0.3">
      <c r="B5" s="55"/>
      <c r="C5" s="59" t="s">
        <v>104</v>
      </c>
      <c r="D5" s="59" t="s">
        <v>105</v>
      </c>
      <c r="E5" s="59" t="s">
        <v>106</v>
      </c>
      <c r="F5" s="59" t="s">
        <v>107</v>
      </c>
      <c r="G5" s="60" t="s">
        <v>108</v>
      </c>
      <c r="H5" s="61"/>
      <c r="I5" s="62" t="s">
        <v>109</v>
      </c>
      <c r="J5" s="63" t="s">
        <v>110</v>
      </c>
      <c r="K5" s="63" t="s">
        <v>111</v>
      </c>
      <c r="L5" s="63" t="s">
        <v>112</v>
      </c>
      <c r="M5" s="63" t="s">
        <v>113</v>
      </c>
      <c r="N5" s="63" t="s">
        <v>114</v>
      </c>
      <c r="O5" s="63" t="s">
        <v>115</v>
      </c>
      <c r="P5" s="63" t="s">
        <v>116</v>
      </c>
      <c r="Q5" s="63" t="s">
        <v>117</v>
      </c>
      <c r="R5" s="63" t="s">
        <v>118</v>
      </c>
      <c r="S5" s="63" t="s">
        <v>119</v>
      </c>
      <c r="T5" s="63" t="s">
        <v>120</v>
      </c>
      <c r="U5" s="63" t="s">
        <v>121</v>
      </c>
      <c r="V5" s="64" t="s">
        <v>122</v>
      </c>
      <c r="W5" s="65" t="s">
        <v>123</v>
      </c>
      <c r="X5" s="66" t="s">
        <v>124</v>
      </c>
      <c r="Y5" s="67" t="s">
        <v>125</v>
      </c>
      <c r="Z5" s="68"/>
      <c r="AA5" s="68"/>
      <c r="AB5" s="68"/>
    </row>
    <row r="6" spans="2:28" ht="20.25" customHeight="1" thickBot="1" x14ac:dyDescent="0.3">
      <c r="B6" s="55"/>
      <c r="C6" s="69"/>
      <c r="D6" s="70">
        <f>SUM(D8:D22)</f>
        <v>0</v>
      </c>
      <c r="E6" s="70">
        <f>SUM(E8:E22)</f>
        <v>0</v>
      </c>
      <c r="F6" s="69"/>
      <c r="G6" s="71"/>
      <c r="H6" s="72" t="s">
        <v>126</v>
      </c>
      <c r="I6" s="73">
        <f>'S weights'!I6</f>
        <v>48.620999999999995</v>
      </c>
      <c r="J6" s="73">
        <f>'S weights'!J6</f>
        <v>48.620999999999995</v>
      </c>
      <c r="K6" s="73">
        <f>'S weights'!K6</f>
        <v>54.163724999999992</v>
      </c>
      <c r="L6" s="73">
        <f>'S weights'!L6</f>
        <v>59.576999999999998</v>
      </c>
      <c r="M6" s="73">
        <f>'S weights'!M6</f>
        <v>57.789000000000001</v>
      </c>
      <c r="N6" s="73">
        <f>'S weights'!N6</f>
        <v>45.515999999999998</v>
      </c>
      <c r="O6" s="73">
        <f>'S weights'!O6</f>
        <v>49.569000000000003</v>
      </c>
      <c r="P6" s="73">
        <f>'S weights'!P6</f>
        <v>44.298000000000002</v>
      </c>
      <c r="Q6" s="73">
        <f>'S weights'!Q6</f>
        <v>58.824150000000003</v>
      </c>
      <c r="R6" s="73">
        <f>'S weights'!R6</f>
        <v>64.648237499999993</v>
      </c>
      <c r="S6" s="73">
        <f>'S weights'!S6</f>
        <v>50.504999999999995</v>
      </c>
      <c r="T6" s="73">
        <f>'S weights'!T6</f>
        <v>61.116</v>
      </c>
      <c r="U6" s="73">
        <f>'S weights'!U6</f>
        <v>44.870999999999995</v>
      </c>
      <c r="V6" s="73">
        <f>'S weights'!V6</f>
        <v>50</v>
      </c>
      <c r="W6" s="74">
        <f>'S weights'!W6</f>
        <v>37.152000000000001</v>
      </c>
      <c r="X6" s="75"/>
      <c r="Y6" s="58"/>
      <c r="Z6" s="68"/>
      <c r="AA6" s="68"/>
      <c r="AB6" s="68"/>
    </row>
    <row r="7" spans="2:28" ht="20.25" customHeight="1" thickBot="1" x14ac:dyDescent="0.3">
      <c r="B7" s="76"/>
      <c r="C7" s="77"/>
      <c r="D7" s="78"/>
      <c r="E7" s="78"/>
      <c r="F7" s="77"/>
      <c r="G7" s="79"/>
      <c r="H7" s="72" t="s">
        <v>127</v>
      </c>
      <c r="I7" s="446" t="s">
        <v>128</v>
      </c>
      <c r="J7" s="447"/>
      <c r="K7" s="447"/>
      <c r="L7" s="447"/>
      <c r="M7" s="447"/>
      <c r="N7" s="447"/>
      <c r="O7" s="447"/>
      <c r="P7" s="447"/>
      <c r="Q7" s="447"/>
      <c r="R7" s="447"/>
      <c r="S7" s="447"/>
      <c r="T7" s="447"/>
      <c r="U7" s="447"/>
      <c r="V7" s="447"/>
      <c r="W7" s="448"/>
      <c r="X7" s="80"/>
      <c r="Y7" s="81"/>
      <c r="Z7" s="68"/>
      <c r="AA7" s="68"/>
      <c r="AB7" s="68"/>
    </row>
    <row r="8" spans="2:28" x14ac:dyDescent="0.25">
      <c r="B8" s="76"/>
      <c r="C8" s="77">
        <v>2</v>
      </c>
      <c r="D8" s="82">
        <f t="shared" ref="D8:E22" si="0">$G$4*F8</f>
        <v>0</v>
      </c>
      <c r="E8" s="82">
        <f t="shared" si="0"/>
        <v>0</v>
      </c>
      <c r="F8" s="83">
        <f>'S weights'!F8</f>
        <v>0.54249999999999998</v>
      </c>
      <c r="G8" s="84">
        <v>0</v>
      </c>
      <c r="H8" s="85">
        <f>$G$4*F8</f>
        <v>0</v>
      </c>
      <c r="I8" s="86">
        <f>'S weights'!I8</f>
        <v>0</v>
      </c>
      <c r="J8" s="86">
        <f>'S weights'!J8</f>
        <v>0</v>
      </c>
      <c r="K8" s="86">
        <f>'S weights'!K8</f>
        <v>0</v>
      </c>
      <c r="L8" s="86">
        <f>'S weights'!L8</f>
        <v>0.4</v>
      </c>
      <c r="M8" s="86">
        <f>'S weights'!M8</f>
        <v>0</v>
      </c>
      <c r="N8" s="86">
        <f>'S weights'!N8</f>
        <v>0.4</v>
      </c>
      <c r="O8" s="86">
        <f>'S weights'!O8</f>
        <v>0</v>
      </c>
      <c r="P8" s="86">
        <f>'S weights'!P8</f>
        <v>0</v>
      </c>
      <c r="Q8" s="86">
        <f>'S weights'!Q8</f>
        <v>0</v>
      </c>
      <c r="R8" s="86">
        <f>'S weights'!R8</f>
        <v>0</v>
      </c>
      <c r="S8" s="86">
        <f>'S weights'!S8</f>
        <v>0</v>
      </c>
      <c r="T8" s="86">
        <f>'S weights'!T8</f>
        <v>0.2</v>
      </c>
      <c r="U8" s="86">
        <f>'S weights'!U8</f>
        <v>0</v>
      </c>
      <c r="V8" s="86">
        <f>'S weights'!V8</f>
        <v>0</v>
      </c>
      <c r="W8" s="87">
        <f>'S weights'!W8</f>
        <v>0</v>
      </c>
      <c r="X8" s="88">
        <f>I8*$I$6+J8*$J$6+K8*$K$6+L8*$L$6+M8*$M$6+N8*$N$6+O8*$O$6+P8*$P$6+Q8*$Q$6+R8*$R$6+S8*$S$6+T8*$T$6+U8*$U$6+V8*$V$6+W8*$W$6</f>
        <v>54.260399999999997</v>
      </c>
      <c r="Y8" s="89">
        <f t="shared" ref="Y8:Y22" si="1">H8/X8</f>
        <v>0</v>
      </c>
      <c r="Z8" s="68"/>
      <c r="AA8" s="90"/>
      <c r="AB8" s="68"/>
    </row>
    <row r="9" spans="2:28" x14ac:dyDescent="0.25">
      <c r="B9" s="91"/>
      <c r="C9" s="92">
        <v>3</v>
      </c>
      <c r="D9" s="93">
        <f t="shared" si="0"/>
        <v>0</v>
      </c>
      <c r="E9" s="93">
        <f t="shared" si="0"/>
        <v>0</v>
      </c>
      <c r="F9" s="94">
        <f>'S weights'!F9</f>
        <v>0</v>
      </c>
      <c r="G9" s="95">
        <v>0</v>
      </c>
      <c r="H9" s="85">
        <f t="shared" ref="H9:H22" si="2">$G$4*F9</f>
        <v>0</v>
      </c>
      <c r="I9" s="86">
        <f>'S weights'!I9</f>
        <v>0.28499999999999998</v>
      </c>
      <c r="J9" s="86">
        <f>'S weights'!J9</f>
        <v>0</v>
      </c>
      <c r="K9" s="86">
        <f>'S weights'!K9</f>
        <v>0</v>
      </c>
      <c r="L9" s="86">
        <f>'S weights'!L9</f>
        <v>0.14199999999999999</v>
      </c>
      <c r="M9" s="86">
        <f>'S weights'!M9</f>
        <v>0.14199999999999999</v>
      </c>
      <c r="N9" s="86">
        <f>'S weights'!N9</f>
        <v>0.28499999999999998</v>
      </c>
      <c r="O9" s="86">
        <f>'S weights'!O9</f>
        <v>0.14199999999999999</v>
      </c>
      <c r="P9" s="86">
        <f>'S weights'!P9</f>
        <v>0</v>
      </c>
      <c r="Q9" s="86">
        <f>'S weights'!Q9</f>
        <v>0</v>
      </c>
      <c r="R9" s="86">
        <f>'S weights'!R9</f>
        <v>0</v>
      </c>
      <c r="S9" s="86">
        <f>'S weights'!S9</f>
        <v>0</v>
      </c>
      <c r="T9" s="86">
        <f>'S weights'!T9</f>
        <v>0</v>
      </c>
      <c r="U9" s="86">
        <f>'S weights'!U9</f>
        <v>0</v>
      </c>
      <c r="V9" s="86">
        <f>'S weights'!V9</f>
        <v>0</v>
      </c>
      <c r="W9" s="87">
        <f>'S weights'!W9</f>
        <v>0</v>
      </c>
      <c r="X9" s="88">
        <f t="shared" ref="X9:X22" si="3">I9*$I$6+J9*$J$6+K9*$K$6+L9*$L$6+M9*$M$6+N9*$N$6+O9*$O$6+P9*$P$6+Q9*$Q$6+R9*$R$6+S9*$S$6+T9*$T$6+U9*$U$6+V9*$V$6+W9*$W$6</f>
        <v>50.533814999999997</v>
      </c>
      <c r="Y9" s="89">
        <f t="shared" si="1"/>
        <v>0</v>
      </c>
      <c r="Z9" s="68"/>
      <c r="AA9" s="90"/>
      <c r="AB9" s="68"/>
    </row>
    <row r="10" spans="2:28" x14ac:dyDescent="0.25">
      <c r="B10" s="91"/>
      <c r="C10" s="92">
        <v>4</v>
      </c>
      <c r="D10" s="93">
        <f t="shared" si="0"/>
        <v>0</v>
      </c>
      <c r="E10" s="93">
        <f t="shared" si="0"/>
        <v>0</v>
      </c>
      <c r="F10" s="94">
        <f>'S weights'!F10</f>
        <v>0</v>
      </c>
      <c r="G10" s="95">
        <v>0</v>
      </c>
      <c r="H10" s="85">
        <f t="shared" si="2"/>
        <v>0</v>
      </c>
      <c r="I10" s="86">
        <f>'S weights'!I10</f>
        <v>0</v>
      </c>
      <c r="J10" s="86">
        <f>'S weights'!J10</f>
        <v>0</v>
      </c>
      <c r="K10" s="86">
        <f>'S weights'!K10</f>
        <v>0</v>
      </c>
      <c r="L10" s="86">
        <f>'S weights'!L10</f>
        <v>0</v>
      </c>
      <c r="M10" s="86">
        <f>'S weights'!M10</f>
        <v>0</v>
      </c>
      <c r="N10" s="86">
        <f>'S weights'!N10</f>
        <v>0.4</v>
      </c>
      <c r="O10" s="86">
        <f>'S weights'!O10</f>
        <v>0.6</v>
      </c>
      <c r="P10" s="86">
        <f>'S weights'!P10</f>
        <v>0</v>
      </c>
      <c r="Q10" s="86">
        <f>'S weights'!Q10</f>
        <v>0</v>
      </c>
      <c r="R10" s="86">
        <f>'S weights'!R10</f>
        <v>0</v>
      </c>
      <c r="S10" s="86">
        <f>'S weights'!S10</f>
        <v>0</v>
      </c>
      <c r="T10" s="86">
        <f>'S weights'!T10</f>
        <v>0</v>
      </c>
      <c r="U10" s="86">
        <f>'S weights'!U10</f>
        <v>0</v>
      </c>
      <c r="V10" s="86">
        <f>'S weights'!V10</f>
        <v>0</v>
      </c>
      <c r="W10" s="87">
        <f>'S weights'!W10</f>
        <v>0</v>
      </c>
      <c r="X10" s="88">
        <f t="shared" si="3"/>
        <v>47.947800000000001</v>
      </c>
      <c r="Y10" s="89">
        <f t="shared" si="1"/>
        <v>0</v>
      </c>
      <c r="Z10" s="68"/>
      <c r="AA10" s="90"/>
      <c r="AB10" s="68"/>
    </row>
    <row r="11" spans="2:28" x14ac:dyDescent="0.25">
      <c r="B11" s="91"/>
      <c r="C11" s="92">
        <v>5</v>
      </c>
      <c r="D11" s="93">
        <f t="shared" si="0"/>
        <v>0</v>
      </c>
      <c r="E11" s="93">
        <f t="shared" si="0"/>
        <v>0</v>
      </c>
      <c r="F11" s="94">
        <f>'S weights'!F11</f>
        <v>0</v>
      </c>
      <c r="G11" s="95">
        <v>0</v>
      </c>
      <c r="H11" s="85">
        <f t="shared" si="2"/>
        <v>0</v>
      </c>
      <c r="I11" s="86">
        <f>'S weights'!I11</f>
        <v>1</v>
      </c>
      <c r="J11" s="86">
        <f>'S weights'!J11</f>
        <v>0</v>
      </c>
      <c r="K11" s="86">
        <f>'S weights'!K11</f>
        <v>0</v>
      </c>
      <c r="L11" s="86">
        <f>'S weights'!L11</f>
        <v>0</v>
      </c>
      <c r="M11" s="86">
        <f>'S weights'!M11</f>
        <v>0</v>
      </c>
      <c r="N11" s="86">
        <f>'S weights'!N11</f>
        <v>0</v>
      </c>
      <c r="O11" s="86">
        <f>'S weights'!O11</f>
        <v>0</v>
      </c>
      <c r="P11" s="86">
        <f>'S weights'!P11</f>
        <v>0</v>
      </c>
      <c r="Q11" s="86">
        <f>'S weights'!Q11</f>
        <v>0</v>
      </c>
      <c r="R11" s="86">
        <f>'S weights'!R11</f>
        <v>0</v>
      </c>
      <c r="S11" s="86">
        <f>'S weights'!S11</f>
        <v>0</v>
      </c>
      <c r="T11" s="86">
        <f>'S weights'!T11</f>
        <v>0</v>
      </c>
      <c r="U11" s="86">
        <f>'S weights'!U11</f>
        <v>0</v>
      </c>
      <c r="V11" s="86">
        <f>'S weights'!V11</f>
        <v>0</v>
      </c>
      <c r="W11" s="87">
        <f>'S weights'!W11</f>
        <v>0</v>
      </c>
      <c r="X11" s="88">
        <f t="shared" si="3"/>
        <v>48.620999999999995</v>
      </c>
      <c r="Y11" s="89">
        <f t="shared" si="1"/>
        <v>0</v>
      </c>
      <c r="Z11" s="68"/>
      <c r="AA11" s="90"/>
      <c r="AB11" s="68"/>
    </row>
    <row r="12" spans="2:28" x14ac:dyDescent="0.25">
      <c r="B12" s="91"/>
      <c r="C12" s="92">
        <v>6</v>
      </c>
      <c r="D12" s="93">
        <f t="shared" si="0"/>
        <v>0</v>
      </c>
      <c r="E12" s="93">
        <f t="shared" si="0"/>
        <v>0</v>
      </c>
      <c r="F12" s="94">
        <f>'S weights'!F12</f>
        <v>0</v>
      </c>
      <c r="G12" s="95">
        <v>0</v>
      </c>
      <c r="H12" s="85">
        <f t="shared" si="2"/>
        <v>0</v>
      </c>
      <c r="I12" s="86">
        <f>'S weights'!I12</f>
        <v>1</v>
      </c>
      <c r="J12" s="86">
        <f>'S weights'!J12</f>
        <v>0</v>
      </c>
      <c r="K12" s="86">
        <f>'S weights'!K12</f>
        <v>0</v>
      </c>
      <c r="L12" s="86">
        <f>'S weights'!L12</f>
        <v>0</v>
      </c>
      <c r="M12" s="86">
        <f>'S weights'!M12</f>
        <v>0</v>
      </c>
      <c r="N12" s="86">
        <f>'S weights'!N12</f>
        <v>0</v>
      </c>
      <c r="O12" s="86">
        <f>'S weights'!O12</f>
        <v>0</v>
      </c>
      <c r="P12" s="86">
        <f>'S weights'!P12</f>
        <v>0</v>
      </c>
      <c r="Q12" s="86">
        <f>'S weights'!Q12</f>
        <v>0</v>
      </c>
      <c r="R12" s="86">
        <f>'S weights'!R12</f>
        <v>0</v>
      </c>
      <c r="S12" s="86">
        <f>'S weights'!S12</f>
        <v>0</v>
      </c>
      <c r="T12" s="86">
        <f>'S weights'!T12</f>
        <v>0</v>
      </c>
      <c r="U12" s="86">
        <f>'S weights'!U12</f>
        <v>0</v>
      </c>
      <c r="V12" s="86">
        <f>'S weights'!V12</f>
        <v>0</v>
      </c>
      <c r="W12" s="87">
        <f>'S weights'!W12</f>
        <v>0</v>
      </c>
      <c r="X12" s="88">
        <f t="shared" si="3"/>
        <v>48.620999999999995</v>
      </c>
      <c r="Y12" s="89">
        <f t="shared" si="1"/>
        <v>0</v>
      </c>
      <c r="Z12" s="68"/>
      <c r="AA12" s="90"/>
      <c r="AB12" s="68"/>
    </row>
    <row r="13" spans="2:28" x14ac:dyDescent="0.25">
      <c r="B13" s="91"/>
      <c r="C13" s="92">
        <v>7</v>
      </c>
      <c r="D13" s="93">
        <f t="shared" si="0"/>
        <v>0</v>
      </c>
      <c r="E13" s="93">
        <f t="shared" si="0"/>
        <v>0</v>
      </c>
      <c r="F13" s="94">
        <f>'S weights'!F13</f>
        <v>0</v>
      </c>
      <c r="G13" s="95">
        <v>0</v>
      </c>
      <c r="H13" s="85">
        <f t="shared" si="2"/>
        <v>0</v>
      </c>
      <c r="I13" s="86">
        <f>'S weights'!I13</f>
        <v>0.5</v>
      </c>
      <c r="J13" s="86">
        <f>'S weights'!J13</f>
        <v>0</v>
      </c>
      <c r="K13" s="86">
        <f>'S weights'!K13</f>
        <v>0</v>
      </c>
      <c r="L13" s="86">
        <f>'S weights'!L13</f>
        <v>0</v>
      </c>
      <c r="M13" s="86">
        <f>'S weights'!M13</f>
        <v>0</v>
      </c>
      <c r="N13" s="86">
        <f>'S weights'!N13</f>
        <v>0</v>
      </c>
      <c r="O13" s="86">
        <f>'S weights'!O13</f>
        <v>0</v>
      </c>
      <c r="P13" s="86">
        <f>'S weights'!P13</f>
        <v>0</v>
      </c>
      <c r="Q13" s="86">
        <f>'S weights'!Q13</f>
        <v>0</v>
      </c>
      <c r="R13" s="86">
        <f>'S weights'!R13</f>
        <v>0</v>
      </c>
      <c r="S13" s="86">
        <f>'S weights'!S13</f>
        <v>0</v>
      </c>
      <c r="T13" s="86">
        <f>'S weights'!T13</f>
        <v>0</v>
      </c>
      <c r="U13" s="86">
        <f>'S weights'!U13</f>
        <v>0</v>
      </c>
      <c r="V13" s="86">
        <f>'S weights'!V13</f>
        <v>0</v>
      </c>
      <c r="W13" s="87">
        <f>'S weights'!W13</f>
        <v>0.5</v>
      </c>
      <c r="X13" s="88">
        <f t="shared" si="3"/>
        <v>42.886499999999998</v>
      </c>
      <c r="Y13" s="89">
        <f t="shared" si="1"/>
        <v>0</v>
      </c>
      <c r="Z13" s="68"/>
      <c r="AA13" s="90"/>
      <c r="AB13" s="68"/>
    </row>
    <row r="14" spans="2:28" x14ac:dyDescent="0.25">
      <c r="B14" s="91"/>
      <c r="C14" s="92">
        <v>8</v>
      </c>
      <c r="D14" s="93">
        <f t="shared" si="0"/>
        <v>0</v>
      </c>
      <c r="E14" s="93">
        <f t="shared" si="0"/>
        <v>0</v>
      </c>
      <c r="F14" s="94">
        <f>'S weights'!F14</f>
        <v>0</v>
      </c>
      <c r="G14" s="95">
        <v>0</v>
      </c>
      <c r="H14" s="85">
        <f t="shared" si="2"/>
        <v>0</v>
      </c>
      <c r="I14" s="86">
        <f>'S weights'!I14</f>
        <v>1</v>
      </c>
      <c r="J14" s="86">
        <f>'S weights'!J14</f>
        <v>0</v>
      </c>
      <c r="K14" s="86">
        <f>'S weights'!K14</f>
        <v>0</v>
      </c>
      <c r="L14" s="86">
        <f>'S weights'!L14</f>
        <v>0</v>
      </c>
      <c r="M14" s="86">
        <f>'S weights'!M14</f>
        <v>0</v>
      </c>
      <c r="N14" s="86">
        <f>'S weights'!N14</f>
        <v>0</v>
      </c>
      <c r="O14" s="86">
        <f>'S weights'!O14</f>
        <v>0</v>
      </c>
      <c r="P14" s="86">
        <f>'S weights'!P14</f>
        <v>0</v>
      </c>
      <c r="Q14" s="86">
        <f>'S weights'!Q14</f>
        <v>0</v>
      </c>
      <c r="R14" s="86">
        <f>'S weights'!R14</f>
        <v>0</v>
      </c>
      <c r="S14" s="86">
        <f>'S weights'!S14</f>
        <v>0</v>
      </c>
      <c r="T14" s="86">
        <f>'S weights'!T14</f>
        <v>0</v>
      </c>
      <c r="U14" s="86">
        <f>'S weights'!U14</f>
        <v>0</v>
      </c>
      <c r="V14" s="86">
        <f>'S weights'!V14</f>
        <v>0</v>
      </c>
      <c r="W14" s="87">
        <f>'S weights'!W14</f>
        <v>0</v>
      </c>
      <c r="X14" s="88">
        <f t="shared" si="3"/>
        <v>48.620999999999995</v>
      </c>
      <c r="Y14" s="89">
        <f t="shared" si="1"/>
        <v>0</v>
      </c>
      <c r="Z14" s="68"/>
      <c r="AA14" s="90"/>
      <c r="AB14" s="68"/>
    </row>
    <row r="15" spans="2:28" x14ac:dyDescent="0.25">
      <c r="B15" s="91"/>
      <c r="C15" s="92">
        <v>9</v>
      </c>
      <c r="D15" s="93">
        <f t="shared" si="0"/>
        <v>0</v>
      </c>
      <c r="E15" s="93">
        <f t="shared" si="0"/>
        <v>0</v>
      </c>
      <c r="F15" s="94">
        <f>'S weights'!F15</f>
        <v>0</v>
      </c>
      <c r="G15" s="95">
        <v>0</v>
      </c>
      <c r="H15" s="85">
        <f t="shared" si="2"/>
        <v>0</v>
      </c>
      <c r="I15" s="86">
        <f>'S weights'!I15</f>
        <v>0</v>
      </c>
      <c r="J15" s="86">
        <f>'S weights'!J15</f>
        <v>0</v>
      </c>
      <c r="K15" s="86">
        <f>'S weights'!K15</f>
        <v>0</v>
      </c>
      <c r="L15" s="86">
        <f>'S weights'!L15</f>
        <v>0</v>
      </c>
      <c r="M15" s="86">
        <f>'S weights'!M15</f>
        <v>0</v>
      </c>
      <c r="N15" s="86">
        <f>'S weights'!N15</f>
        <v>0</v>
      </c>
      <c r="O15" s="86">
        <f>'S weights'!O15</f>
        <v>0</v>
      </c>
      <c r="P15" s="86">
        <f>'S weights'!P15</f>
        <v>0</v>
      </c>
      <c r="Q15" s="86">
        <f>'S weights'!Q15</f>
        <v>0</v>
      </c>
      <c r="R15" s="86">
        <f>'S weights'!R15</f>
        <v>0</v>
      </c>
      <c r="S15" s="86">
        <f>'S weights'!S15</f>
        <v>0</v>
      </c>
      <c r="T15" s="86">
        <f>'S weights'!T15</f>
        <v>0</v>
      </c>
      <c r="U15" s="86">
        <f>'S weights'!U15</f>
        <v>1</v>
      </c>
      <c r="V15" s="86">
        <f>'S weights'!V15</f>
        <v>0</v>
      </c>
      <c r="W15" s="87">
        <f>'S weights'!W15</f>
        <v>0</v>
      </c>
      <c r="X15" s="88">
        <f t="shared" si="3"/>
        <v>44.870999999999995</v>
      </c>
      <c r="Y15" s="89">
        <f t="shared" si="1"/>
        <v>0</v>
      </c>
      <c r="Z15" s="68"/>
      <c r="AA15" s="90"/>
      <c r="AB15" s="68"/>
    </row>
    <row r="16" spans="2:28" x14ac:dyDescent="0.25">
      <c r="B16" s="91"/>
      <c r="C16" s="92">
        <v>10</v>
      </c>
      <c r="D16" s="93">
        <f t="shared" si="0"/>
        <v>0</v>
      </c>
      <c r="E16" s="93">
        <f t="shared" si="0"/>
        <v>0</v>
      </c>
      <c r="F16" s="94">
        <f>'S weights'!F16</f>
        <v>0</v>
      </c>
      <c r="G16" s="95">
        <v>0</v>
      </c>
      <c r="H16" s="85">
        <f t="shared" si="2"/>
        <v>0</v>
      </c>
      <c r="I16" s="86">
        <f>'S weights'!I16</f>
        <v>0.5</v>
      </c>
      <c r="J16" s="86">
        <f>'S weights'!J16</f>
        <v>0</v>
      </c>
      <c r="K16" s="86">
        <f>'S weights'!K16</f>
        <v>0</v>
      </c>
      <c r="L16" s="86">
        <f>'S weights'!L16</f>
        <v>0</v>
      </c>
      <c r="M16" s="86">
        <f>'S weights'!M16</f>
        <v>0</v>
      </c>
      <c r="N16" s="86">
        <f>'S weights'!N16</f>
        <v>0</v>
      </c>
      <c r="O16" s="86">
        <f>'S weights'!O16</f>
        <v>0</v>
      </c>
      <c r="P16" s="86">
        <f>'S weights'!P16</f>
        <v>0</v>
      </c>
      <c r="Q16" s="86">
        <f>'S weights'!Q16</f>
        <v>0.5</v>
      </c>
      <c r="R16" s="86">
        <f>'S weights'!R16</f>
        <v>0</v>
      </c>
      <c r="S16" s="86">
        <f>'S weights'!S16</f>
        <v>0</v>
      </c>
      <c r="T16" s="86">
        <f>'S weights'!T16</f>
        <v>0</v>
      </c>
      <c r="U16" s="86">
        <f>'S weights'!U16</f>
        <v>0</v>
      </c>
      <c r="V16" s="86">
        <f>'S weights'!V16</f>
        <v>0</v>
      </c>
      <c r="W16" s="87">
        <f>'S weights'!W16</f>
        <v>0</v>
      </c>
      <c r="X16" s="88">
        <f t="shared" si="3"/>
        <v>53.722574999999999</v>
      </c>
      <c r="Y16" s="89">
        <f t="shared" si="1"/>
        <v>0</v>
      </c>
      <c r="Z16" s="68"/>
      <c r="AA16" s="90"/>
      <c r="AB16" s="68"/>
    </row>
    <row r="17" spans="2:28" x14ac:dyDescent="0.25">
      <c r="B17" s="91"/>
      <c r="C17" s="92">
        <v>11</v>
      </c>
      <c r="D17" s="93">
        <f t="shared" si="0"/>
        <v>0</v>
      </c>
      <c r="E17" s="93">
        <f t="shared" si="0"/>
        <v>0</v>
      </c>
      <c r="F17" s="94">
        <f>'S weights'!F17</f>
        <v>0</v>
      </c>
      <c r="G17" s="95">
        <v>0</v>
      </c>
      <c r="H17" s="85">
        <f t="shared" si="2"/>
        <v>0</v>
      </c>
      <c r="I17" s="86">
        <f>'S weights'!I17</f>
        <v>0</v>
      </c>
      <c r="J17" s="86">
        <f>'S weights'!J17</f>
        <v>0.75</v>
      </c>
      <c r="K17" s="86">
        <f>'S weights'!K17</f>
        <v>0</v>
      </c>
      <c r="L17" s="86">
        <f>'S weights'!L17</f>
        <v>0.25</v>
      </c>
      <c r="M17" s="86">
        <f>'S weights'!M17</f>
        <v>0</v>
      </c>
      <c r="N17" s="86">
        <f>'S weights'!N17</f>
        <v>0</v>
      </c>
      <c r="O17" s="86">
        <f>'S weights'!O17</f>
        <v>0</v>
      </c>
      <c r="P17" s="86">
        <f>'S weights'!P17</f>
        <v>0</v>
      </c>
      <c r="Q17" s="86">
        <f>'S weights'!Q17</f>
        <v>0</v>
      </c>
      <c r="R17" s="86">
        <f>'S weights'!R17</f>
        <v>0</v>
      </c>
      <c r="S17" s="86">
        <f>'S weights'!S17</f>
        <v>0</v>
      </c>
      <c r="T17" s="86">
        <f>'S weights'!T17</f>
        <v>0</v>
      </c>
      <c r="U17" s="86">
        <f>'S weights'!U17</f>
        <v>0</v>
      </c>
      <c r="V17" s="86">
        <f>'S weights'!V17</f>
        <v>0</v>
      </c>
      <c r="W17" s="87">
        <f>'S weights'!W17</f>
        <v>0</v>
      </c>
      <c r="X17" s="88">
        <f t="shared" si="3"/>
        <v>51.36</v>
      </c>
      <c r="Y17" s="89">
        <f t="shared" si="1"/>
        <v>0</v>
      </c>
      <c r="Z17" s="68"/>
      <c r="AA17" s="90"/>
      <c r="AB17" s="68"/>
    </row>
    <row r="18" spans="2:28" x14ac:dyDescent="0.25">
      <c r="B18" s="91"/>
      <c r="C18" s="92">
        <v>12</v>
      </c>
      <c r="D18" s="93">
        <f t="shared" si="0"/>
        <v>0</v>
      </c>
      <c r="E18" s="93">
        <f t="shared" si="0"/>
        <v>0</v>
      </c>
      <c r="F18" s="94">
        <f>'S weights'!F18</f>
        <v>0</v>
      </c>
      <c r="G18" s="95">
        <v>0</v>
      </c>
      <c r="H18" s="85">
        <f t="shared" si="2"/>
        <v>0</v>
      </c>
      <c r="I18" s="86">
        <f>'S weights'!I18</f>
        <v>0</v>
      </c>
      <c r="J18" s="86">
        <f>'S weights'!J18</f>
        <v>0</v>
      </c>
      <c r="K18" s="86">
        <f>'S weights'!K18</f>
        <v>0</v>
      </c>
      <c r="L18" s="86">
        <f>'S weights'!L18</f>
        <v>0</v>
      </c>
      <c r="M18" s="86">
        <f>'S weights'!M18</f>
        <v>0</v>
      </c>
      <c r="N18" s="86">
        <f>'S weights'!N18</f>
        <v>1</v>
      </c>
      <c r="O18" s="86">
        <f>'S weights'!O18</f>
        <v>0</v>
      </c>
      <c r="P18" s="86">
        <f>'S weights'!P18</f>
        <v>0</v>
      </c>
      <c r="Q18" s="86">
        <f>'S weights'!Q18</f>
        <v>0</v>
      </c>
      <c r="R18" s="86">
        <f>'S weights'!R18</f>
        <v>0</v>
      </c>
      <c r="S18" s="86">
        <f>'S weights'!S18</f>
        <v>0</v>
      </c>
      <c r="T18" s="86">
        <f>'S weights'!T18</f>
        <v>0</v>
      </c>
      <c r="U18" s="86">
        <f>'S weights'!U18</f>
        <v>0</v>
      </c>
      <c r="V18" s="86">
        <f>'S weights'!V18</f>
        <v>0</v>
      </c>
      <c r="W18" s="87">
        <f>'S weights'!W18</f>
        <v>0</v>
      </c>
      <c r="X18" s="88">
        <f t="shared" si="3"/>
        <v>45.515999999999998</v>
      </c>
      <c r="Y18" s="89">
        <f t="shared" si="1"/>
        <v>0</v>
      </c>
      <c r="Z18" s="68"/>
      <c r="AA18" s="90"/>
      <c r="AB18" s="68"/>
    </row>
    <row r="19" spans="2:28" x14ac:dyDescent="0.25">
      <c r="B19" s="91"/>
      <c r="C19" s="92">
        <v>13</v>
      </c>
      <c r="D19" s="93">
        <f t="shared" si="0"/>
        <v>0</v>
      </c>
      <c r="E19" s="93">
        <f t="shared" si="0"/>
        <v>0</v>
      </c>
      <c r="F19" s="94">
        <f>'S weights'!F19</f>
        <v>0</v>
      </c>
      <c r="G19" s="95">
        <v>0</v>
      </c>
      <c r="H19" s="85">
        <f t="shared" si="2"/>
        <v>0</v>
      </c>
      <c r="I19" s="86">
        <f>'S weights'!I19</f>
        <v>0</v>
      </c>
      <c r="J19" s="86">
        <f>'S weights'!J19</f>
        <v>0</v>
      </c>
      <c r="K19" s="86">
        <f>'S weights'!K19</f>
        <v>1</v>
      </c>
      <c r="L19" s="86">
        <f>'S weights'!L19</f>
        <v>0</v>
      </c>
      <c r="M19" s="86">
        <f>'S weights'!M19</f>
        <v>0</v>
      </c>
      <c r="N19" s="86">
        <f>'S weights'!N19</f>
        <v>0</v>
      </c>
      <c r="O19" s="86">
        <f>'S weights'!O19</f>
        <v>0</v>
      </c>
      <c r="P19" s="86">
        <f>'S weights'!P19</f>
        <v>0</v>
      </c>
      <c r="Q19" s="86">
        <f>'S weights'!Q19</f>
        <v>0</v>
      </c>
      <c r="R19" s="86">
        <f>'S weights'!R19</f>
        <v>0</v>
      </c>
      <c r="S19" s="86">
        <f>'S weights'!S19</f>
        <v>0</v>
      </c>
      <c r="T19" s="86">
        <f>'S weights'!T19</f>
        <v>0</v>
      </c>
      <c r="U19" s="86">
        <f>'S weights'!U19</f>
        <v>0</v>
      </c>
      <c r="V19" s="86">
        <f>'S weights'!V19</f>
        <v>0</v>
      </c>
      <c r="W19" s="87">
        <f>'S weights'!W19</f>
        <v>0</v>
      </c>
      <c r="X19" s="88">
        <f t="shared" si="3"/>
        <v>54.163724999999992</v>
      </c>
      <c r="Y19" s="89">
        <f t="shared" si="1"/>
        <v>0</v>
      </c>
      <c r="Z19" s="68"/>
      <c r="AA19" s="90"/>
      <c r="AB19" s="68"/>
    </row>
    <row r="20" spans="2:28" x14ac:dyDescent="0.25">
      <c r="B20" s="91"/>
      <c r="C20" s="92">
        <v>14</v>
      </c>
      <c r="D20" s="93">
        <f t="shared" si="0"/>
        <v>0</v>
      </c>
      <c r="E20" s="93">
        <f t="shared" si="0"/>
        <v>0</v>
      </c>
      <c r="F20" s="94">
        <f>'S weights'!F20</f>
        <v>0</v>
      </c>
      <c r="G20" s="95">
        <v>0</v>
      </c>
      <c r="H20" s="85">
        <f t="shared" si="2"/>
        <v>0</v>
      </c>
      <c r="I20" s="86">
        <f>'S weights'!I20</f>
        <v>0</v>
      </c>
      <c r="J20" s="86">
        <f>'S weights'!J20</f>
        <v>0.8</v>
      </c>
      <c r="K20" s="86">
        <f>'S weights'!K20</f>
        <v>0</v>
      </c>
      <c r="L20" s="86">
        <f>'S weights'!L20</f>
        <v>0</v>
      </c>
      <c r="M20" s="86">
        <f>'S weights'!M20</f>
        <v>0</v>
      </c>
      <c r="N20" s="86">
        <f>'S weights'!N20</f>
        <v>0.2</v>
      </c>
      <c r="O20" s="86">
        <f>'S weights'!O20</f>
        <v>0</v>
      </c>
      <c r="P20" s="86">
        <f>'S weights'!P20</f>
        <v>0</v>
      </c>
      <c r="Q20" s="86">
        <f>'S weights'!Q20</f>
        <v>0</v>
      </c>
      <c r="R20" s="86">
        <f>'S weights'!R20</f>
        <v>0</v>
      </c>
      <c r="S20" s="86">
        <f>'S weights'!S20</f>
        <v>0</v>
      </c>
      <c r="T20" s="86">
        <f>'S weights'!T20</f>
        <v>0</v>
      </c>
      <c r="U20" s="86">
        <f>'S weights'!U20</f>
        <v>0</v>
      </c>
      <c r="V20" s="86">
        <f>'S weights'!V20</f>
        <v>0</v>
      </c>
      <c r="W20" s="87">
        <f>'S weights'!W20</f>
        <v>0</v>
      </c>
      <c r="X20" s="88">
        <f t="shared" si="3"/>
        <v>48</v>
      </c>
      <c r="Y20" s="89">
        <f t="shared" si="1"/>
        <v>0</v>
      </c>
      <c r="Z20" s="68"/>
      <c r="AA20" s="90"/>
      <c r="AB20" s="68"/>
    </row>
    <row r="21" spans="2:28" x14ac:dyDescent="0.25">
      <c r="B21" s="91"/>
      <c r="C21" s="92">
        <v>15</v>
      </c>
      <c r="D21" s="93">
        <f t="shared" si="0"/>
        <v>0</v>
      </c>
      <c r="E21" s="93">
        <f t="shared" si="0"/>
        <v>0</v>
      </c>
      <c r="F21" s="94">
        <f>'S weights'!F21</f>
        <v>0</v>
      </c>
      <c r="G21" s="95">
        <v>0</v>
      </c>
      <c r="H21" s="85">
        <f t="shared" si="2"/>
        <v>0</v>
      </c>
      <c r="I21" s="86">
        <f>'S weights'!I21</f>
        <v>0</v>
      </c>
      <c r="J21" s="86">
        <f>'S weights'!J21</f>
        <v>0</v>
      </c>
      <c r="K21" s="86">
        <f>'S weights'!K21</f>
        <v>0</v>
      </c>
      <c r="L21" s="86">
        <f>'S weights'!L21</f>
        <v>0.1</v>
      </c>
      <c r="M21" s="86">
        <f>'S weights'!M21</f>
        <v>0</v>
      </c>
      <c r="N21" s="86">
        <f>'S weights'!N21</f>
        <v>0.1</v>
      </c>
      <c r="O21" s="86">
        <f>'S weights'!O21</f>
        <v>0</v>
      </c>
      <c r="P21" s="86">
        <f>'S weights'!P21</f>
        <v>0</v>
      </c>
      <c r="Q21" s="86">
        <f>'S weights'!Q21</f>
        <v>0.31</v>
      </c>
      <c r="R21" s="86">
        <f>'S weights'!R21</f>
        <v>0.31</v>
      </c>
      <c r="S21" s="86">
        <f>'S weights'!S21</f>
        <v>0</v>
      </c>
      <c r="T21" s="86">
        <f>'S weights'!T21</f>
        <v>0.18</v>
      </c>
      <c r="U21" s="86">
        <f>'S weights'!U21</f>
        <v>0</v>
      </c>
      <c r="V21" s="86">
        <f>'S weights'!V21</f>
        <v>0</v>
      </c>
      <c r="W21" s="87">
        <f>'S weights'!W21</f>
        <v>0</v>
      </c>
      <c r="X21" s="88">
        <f t="shared" si="3"/>
        <v>59.786620124999999</v>
      </c>
      <c r="Y21" s="89">
        <f t="shared" si="1"/>
        <v>0</v>
      </c>
      <c r="Z21" s="68"/>
      <c r="AA21" s="90"/>
      <c r="AB21" s="68"/>
    </row>
    <row r="22" spans="2:28" ht="15.75" thickBot="1" x14ac:dyDescent="0.3">
      <c r="B22" s="96"/>
      <c r="C22" s="97">
        <v>16</v>
      </c>
      <c r="D22" s="98">
        <f t="shared" si="0"/>
        <v>0</v>
      </c>
      <c r="E22" s="98">
        <f t="shared" si="0"/>
        <v>0</v>
      </c>
      <c r="F22" s="99">
        <f>'S weights'!F22</f>
        <v>0</v>
      </c>
      <c r="G22" s="100">
        <v>0</v>
      </c>
      <c r="H22" s="101">
        <f t="shared" si="2"/>
        <v>0</v>
      </c>
      <c r="I22" s="102">
        <f>'S weights'!I22</f>
        <v>0</v>
      </c>
      <c r="J22" s="102">
        <f>'S weights'!J22</f>
        <v>0</v>
      </c>
      <c r="K22" s="102">
        <f>'S weights'!K22</f>
        <v>1</v>
      </c>
      <c r="L22" s="102">
        <f>'S weights'!L22</f>
        <v>0</v>
      </c>
      <c r="M22" s="102">
        <f>'S weights'!M22</f>
        <v>0</v>
      </c>
      <c r="N22" s="102">
        <f>'S weights'!N22</f>
        <v>0</v>
      </c>
      <c r="O22" s="102">
        <f>'S weights'!O22</f>
        <v>0</v>
      </c>
      <c r="P22" s="102">
        <f>'S weights'!P22</f>
        <v>0</v>
      </c>
      <c r="Q22" s="102">
        <f>'S weights'!Q22</f>
        <v>0</v>
      </c>
      <c r="R22" s="102">
        <f>'S weights'!R22</f>
        <v>0</v>
      </c>
      <c r="S22" s="102">
        <f>'S weights'!S22</f>
        <v>0</v>
      </c>
      <c r="T22" s="102">
        <f>'S weights'!T22</f>
        <v>0</v>
      </c>
      <c r="U22" s="102">
        <f>'S weights'!U22</f>
        <v>0</v>
      </c>
      <c r="V22" s="102">
        <f>'S weights'!V22</f>
        <v>0</v>
      </c>
      <c r="W22" s="103">
        <f>'S weights'!W22</f>
        <v>0</v>
      </c>
      <c r="X22" s="104">
        <f t="shared" si="3"/>
        <v>54.163724999999992</v>
      </c>
      <c r="Y22" s="105">
        <f t="shared" si="1"/>
        <v>0</v>
      </c>
      <c r="Z22" s="68"/>
      <c r="AA22" s="80"/>
      <c r="AB22" s="68"/>
    </row>
    <row r="23" spans="2:28" ht="15.75" thickBot="1" x14ac:dyDescent="0.3">
      <c r="E23" s="106" t="s">
        <v>129</v>
      </c>
      <c r="F23" s="107">
        <f>SUM(F8:F22)</f>
        <v>0.54249999999999998</v>
      </c>
      <c r="G23" s="107">
        <f>SUM(G8:G22)</f>
        <v>0</v>
      </c>
      <c r="H23" s="108" t="s">
        <v>130</v>
      </c>
      <c r="I23" s="109">
        <f t="shared" ref="I23:W23" si="4">I24*I6</f>
        <v>0</v>
      </c>
      <c r="J23" s="109">
        <f t="shared" si="4"/>
        <v>0</v>
      </c>
      <c r="K23" s="109">
        <f t="shared" si="4"/>
        <v>0</v>
      </c>
      <c r="L23" s="109">
        <f>L24*L6</f>
        <v>0</v>
      </c>
      <c r="M23" s="109">
        <f t="shared" si="4"/>
        <v>0</v>
      </c>
      <c r="N23" s="109">
        <f t="shared" si="4"/>
        <v>0</v>
      </c>
      <c r="O23" s="109">
        <f t="shared" si="4"/>
        <v>0</v>
      </c>
      <c r="P23" s="109">
        <f t="shared" si="4"/>
        <v>0</v>
      </c>
      <c r="Q23" s="109">
        <f t="shared" si="4"/>
        <v>0</v>
      </c>
      <c r="R23" s="109">
        <f t="shared" si="4"/>
        <v>0</v>
      </c>
      <c r="S23" s="109">
        <f t="shared" si="4"/>
        <v>0</v>
      </c>
      <c r="T23" s="109">
        <f t="shared" si="4"/>
        <v>0</v>
      </c>
      <c r="U23" s="109">
        <f t="shared" si="4"/>
        <v>0</v>
      </c>
      <c r="V23" s="110">
        <f t="shared" si="4"/>
        <v>0</v>
      </c>
      <c r="W23" s="111">
        <f t="shared" si="4"/>
        <v>0</v>
      </c>
      <c r="X23" s="112"/>
      <c r="Y23" s="113"/>
      <c r="Z23" s="68"/>
      <c r="AA23" s="68"/>
      <c r="AB23" s="68"/>
    </row>
    <row r="24" spans="2:28" ht="15.75" thickBot="1" x14ac:dyDescent="0.3">
      <c r="F24" s="114"/>
      <c r="G24" s="114"/>
      <c r="H24" s="108" t="s">
        <v>131</v>
      </c>
      <c r="I24" s="115">
        <f>I8*$Y$8+I9*$Y$9+I10*$Y$10+I11*$Y$11+I12*$Y$12+I13*$Y$13+I14*$Y$14+I15*$Y$15+I16*$Y$16+I17*$Y$17+I18*$Y$18+I19*$Y$19+I20*$Y$20+I21*$Y$21+I22*$Y$22</f>
        <v>0</v>
      </c>
      <c r="J24" s="115">
        <f t="shared" ref="J24:V24" si="5">J8*$Y$8+J9*$Y$9+J10*$Y$10+J11*$Y$11+J12*$Y$12+J13*$Y$13+J14*$Y$14+J15*$Y$15+J16*$Y$16+J17*$Y$17+J18*$Y$18+J19*$Y$19+J20*$Y$20+J21*$Y$21+J22*$Y$22</f>
        <v>0</v>
      </c>
      <c r="K24" s="115">
        <f t="shared" si="5"/>
        <v>0</v>
      </c>
      <c r="L24" s="115">
        <f>L8*$Y$8+L9*$Y$9+L10*$Y$10+L11*$Y$11+L12*$Y$12+L13*$Y$13+L14*$Y$14+L15*$Y$15+L16*$Y$16+L17*$Y$17+L18*$Y$18+L19*$Y$19+L20*$Y$20+L21*$Y$21+L22*$Y$22</f>
        <v>0</v>
      </c>
      <c r="M24" s="115">
        <f t="shared" si="5"/>
        <v>0</v>
      </c>
      <c r="N24" s="115">
        <f t="shared" si="5"/>
        <v>0</v>
      </c>
      <c r="O24" s="115">
        <f t="shared" si="5"/>
        <v>0</v>
      </c>
      <c r="P24" s="115">
        <f t="shared" si="5"/>
        <v>0</v>
      </c>
      <c r="Q24" s="115">
        <f t="shared" si="5"/>
        <v>0</v>
      </c>
      <c r="R24" s="115">
        <f t="shared" si="5"/>
        <v>0</v>
      </c>
      <c r="S24" s="115">
        <f t="shared" si="5"/>
        <v>0</v>
      </c>
      <c r="T24" s="115">
        <f t="shared" si="5"/>
        <v>0</v>
      </c>
      <c r="U24" s="115">
        <f t="shared" si="5"/>
        <v>0</v>
      </c>
      <c r="V24" s="116">
        <f t="shared" si="5"/>
        <v>0</v>
      </c>
      <c r="W24" s="117">
        <f>W8*$Y$8+W9*$Y$9+W10*$Y$10+W11*$Y$11+W12*$Y$12+W13*$Y$13+W14*$Y$14+W15*$Y$15+W16*$Y$16+W17*$Y$17+W18*$Y$18+W19*$Y$19+W20*$Y$20+W21*$Y$21+W22*$Y$22</f>
        <v>0</v>
      </c>
      <c r="X24" s="118"/>
      <c r="Y24" s="119">
        <f>SUM(Y8:Y22)</f>
        <v>0</v>
      </c>
      <c r="Z24" s="68"/>
      <c r="AA24" s="68"/>
      <c r="AB24" s="68"/>
    </row>
    <row r="25" spans="2:28" ht="15.75" thickBot="1" x14ac:dyDescent="0.3">
      <c r="B25" s="68"/>
      <c r="C25" s="68"/>
      <c r="D25" s="68"/>
      <c r="E25" s="68"/>
      <c r="F25" s="120"/>
      <c r="G25" s="120"/>
      <c r="I25" s="121"/>
      <c r="J25" s="121"/>
      <c r="K25" s="121"/>
      <c r="L25" s="121"/>
      <c r="M25" s="121"/>
      <c r="N25" s="121"/>
      <c r="O25" s="121"/>
      <c r="P25" s="121"/>
      <c r="Q25" s="121"/>
      <c r="R25" s="121"/>
      <c r="S25" s="121"/>
      <c r="T25" s="121"/>
      <c r="U25" s="121"/>
      <c r="V25" s="121"/>
      <c r="W25" s="121"/>
      <c r="X25" s="68"/>
      <c r="Y25" s="68"/>
      <c r="Z25" s="68"/>
      <c r="AA25" s="68"/>
      <c r="AB25" s="68"/>
    </row>
    <row r="26" spans="2:28" ht="20.25" thickTop="1" thickBot="1" x14ac:dyDescent="0.3">
      <c r="B26" s="420"/>
      <c r="C26" s="421"/>
      <c r="D26" s="68"/>
      <c r="E26" s="68"/>
      <c r="F26" s="68"/>
      <c r="G26" s="68"/>
      <c r="H26" s="68"/>
      <c r="I26" s="90"/>
      <c r="J26" s="90"/>
      <c r="K26" s="90"/>
      <c r="L26" s="90"/>
      <c r="M26" s="90"/>
      <c r="N26" s="90"/>
      <c r="O26" s="90"/>
      <c r="P26" s="90"/>
      <c r="Q26" s="90"/>
      <c r="R26" s="90"/>
      <c r="S26" s="90"/>
      <c r="T26" s="90"/>
      <c r="U26" s="90"/>
      <c r="V26" s="90"/>
      <c r="W26" s="90"/>
      <c r="X26" s="68"/>
      <c r="Y26" s="68"/>
      <c r="Z26" s="68"/>
      <c r="AA26" s="68"/>
      <c r="AB26" s="68"/>
    </row>
    <row r="27" spans="2:28" x14ac:dyDescent="0.25">
      <c r="B27" s="122"/>
      <c r="C27" s="122"/>
      <c r="D27" s="122"/>
      <c r="E27" s="122">
        <v>1</v>
      </c>
      <c r="F27" s="123"/>
      <c r="G27" s="122"/>
      <c r="H27" s="122"/>
      <c r="I27" s="124" t="str">
        <f>I5</f>
        <v>Carpenters</v>
      </c>
      <c r="J27" s="125">
        <f>I24</f>
        <v>0</v>
      </c>
      <c r="K27" s="122"/>
      <c r="L27" s="122"/>
      <c r="M27" s="122"/>
      <c r="N27" s="122"/>
      <c r="O27" s="122"/>
      <c r="P27" s="122"/>
      <c r="Q27" s="122"/>
      <c r="R27" s="122"/>
      <c r="S27" s="122"/>
      <c r="T27" s="122"/>
      <c r="U27" s="122"/>
      <c r="V27" s="122"/>
      <c r="W27" s="68"/>
      <c r="X27" s="68"/>
      <c r="Y27" s="68"/>
      <c r="Z27" s="68"/>
      <c r="AA27" s="68"/>
    </row>
    <row r="28" spans="2:28" ht="15.75" x14ac:dyDescent="0.25">
      <c r="B28" s="122"/>
      <c r="C28" s="122"/>
      <c r="D28" s="122"/>
      <c r="E28" s="122">
        <v>2</v>
      </c>
      <c r="F28" s="123"/>
      <c r="G28" s="122"/>
      <c r="H28" s="122"/>
      <c r="I28" s="124" t="str">
        <f>K5</f>
        <v>Electricians</v>
      </c>
      <c r="J28" s="125">
        <f>K24</f>
        <v>0</v>
      </c>
      <c r="K28" s="126"/>
      <c r="L28" s="126"/>
      <c r="M28" s="126"/>
      <c r="N28" s="126"/>
      <c r="O28" s="126"/>
      <c r="P28" s="126"/>
      <c r="Q28" s="126"/>
      <c r="R28" s="126"/>
      <c r="S28" s="126"/>
      <c r="T28" s="126"/>
      <c r="U28" s="126"/>
      <c r="V28" s="126"/>
      <c r="W28" s="68"/>
      <c r="Y28" s="68"/>
    </row>
    <row r="29" spans="2:28" ht="15.75" x14ac:dyDescent="0.25">
      <c r="B29" s="122"/>
      <c r="C29" s="122"/>
      <c r="D29" s="123"/>
      <c r="E29" s="122">
        <v>3</v>
      </c>
      <c r="F29" s="123"/>
      <c r="G29" s="122"/>
      <c r="H29" s="122"/>
      <c r="I29" s="124" t="str">
        <f>L5</f>
        <v>Heavy Equipment Operators</v>
      </c>
      <c r="J29" s="125">
        <f>L24</f>
        <v>0</v>
      </c>
      <c r="K29" s="122"/>
      <c r="L29" s="122"/>
      <c r="M29" s="122"/>
      <c r="N29" s="122"/>
      <c r="O29" s="127"/>
      <c r="P29" s="122"/>
      <c r="Q29" s="122"/>
      <c r="R29" s="122"/>
      <c r="S29" s="122"/>
      <c r="T29" s="122"/>
      <c r="U29" s="122"/>
      <c r="V29" s="122"/>
      <c r="W29" s="68"/>
      <c r="Y29" s="68"/>
    </row>
    <row r="30" spans="2:28" ht="15.75" x14ac:dyDescent="0.25">
      <c r="B30" s="122"/>
      <c r="C30" s="122"/>
      <c r="D30" s="123"/>
      <c r="E30" s="122">
        <v>4</v>
      </c>
      <c r="F30" s="123"/>
      <c r="G30" s="122"/>
      <c r="H30" s="122"/>
      <c r="I30" s="124" t="str">
        <f>M5</f>
        <v>Ironworkers - reinforcing steel</v>
      </c>
      <c r="J30" s="125">
        <f>M24</f>
        <v>0</v>
      </c>
      <c r="K30" s="122"/>
      <c r="L30" s="122"/>
      <c r="M30" s="122"/>
      <c r="N30" s="122"/>
      <c r="O30" s="127"/>
      <c r="P30" s="122"/>
      <c r="Q30" s="122"/>
      <c r="R30" s="122"/>
      <c r="S30" s="122"/>
      <c r="T30" s="122"/>
      <c r="U30" s="122"/>
      <c r="V30" s="122"/>
      <c r="W30" s="68"/>
      <c r="Y30" s="68"/>
    </row>
    <row r="31" spans="2:28" ht="15.75" x14ac:dyDescent="0.25">
      <c r="B31" s="122"/>
      <c r="C31" s="122"/>
      <c r="D31" s="123"/>
      <c r="E31" s="122">
        <v>5</v>
      </c>
      <c r="F31" s="123"/>
      <c r="G31" s="122"/>
      <c r="H31" s="122"/>
      <c r="I31" s="124" t="str">
        <f>N5</f>
        <v>Laborers</v>
      </c>
      <c r="J31" s="125">
        <f>N24</f>
        <v>0</v>
      </c>
      <c r="K31" s="122"/>
      <c r="L31" s="122"/>
      <c r="M31" s="122"/>
      <c r="N31" s="122"/>
      <c r="O31" s="127"/>
      <c r="P31" s="122"/>
      <c r="Q31" s="122"/>
      <c r="R31" s="122"/>
      <c r="S31" s="122"/>
      <c r="T31" s="122"/>
      <c r="U31" s="122"/>
      <c r="V31" s="122"/>
      <c r="W31" s="68"/>
      <c r="Y31" s="68"/>
    </row>
    <row r="32" spans="2:28" ht="15.75" x14ac:dyDescent="0.25">
      <c r="B32" s="122"/>
      <c r="C32" s="122"/>
      <c r="D32" s="123"/>
      <c r="E32" s="122">
        <v>6</v>
      </c>
      <c r="F32" s="123"/>
      <c r="G32" s="122"/>
      <c r="H32" s="122"/>
      <c r="I32" s="124" t="str">
        <f>O5</f>
        <v>Masons</v>
      </c>
      <c r="J32" s="125">
        <f>O24</f>
        <v>0</v>
      </c>
      <c r="K32" s="122"/>
      <c r="L32" s="122"/>
      <c r="M32" s="122"/>
      <c r="N32" s="122"/>
      <c r="O32" s="127"/>
      <c r="P32" s="122"/>
      <c r="Q32" s="122"/>
      <c r="R32" s="122"/>
      <c r="S32" s="122"/>
      <c r="T32" s="122"/>
      <c r="U32" s="122"/>
      <c r="V32" s="122"/>
      <c r="W32" s="68"/>
      <c r="Y32" s="68"/>
    </row>
    <row r="33" spans="2:25" ht="15.75" x14ac:dyDescent="0.25">
      <c r="B33" s="122"/>
      <c r="C33" s="122"/>
      <c r="D33" s="123"/>
      <c r="E33" s="122">
        <v>7</v>
      </c>
      <c r="F33" s="123"/>
      <c r="G33" s="122"/>
      <c r="H33" s="122"/>
      <c r="I33" s="124" t="str">
        <f>J5</f>
        <v>Millwrights</v>
      </c>
      <c r="J33" s="125">
        <f>J24</f>
        <v>0</v>
      </c>
      <c r="K33" s="122"/>
      <c r="L33" s="122"/>
      <c r="M33" s="122"/>
      <c r="N33" s="122"/>
      <c r="O33" s="127"/>
      <c r="P33" s="122"/>
      <c r="Q33" s="122"/>
      <c r="R33" s="122"/>
      <c r="S33" s="122"/>
      <c r="T33" s="122"/>
      <c r="U33" s="122"/>
      <c r="V33" s="122"/>
      <c r="W33" s="68"/>
      <c r="Y33" s="68"/>
    </row>
    <row r="34" spans="2:25" ht="15.75" x14ac:dyDescent="0.25">
      <c r="B34" s="122"/>
      <c r="C34" s="122"/>
      <c r="D34" s="123"/>
      <c r="E34" s="122">
        <v>8</v>
      </c>
      <c r="F34" s="123"/>
      <c r="G34" s="122"/>
      <c r="H34" s="122"/>
      <c r="I34" s="124" t="str">
        <f>U5</f>
        <v>Painter</v>
      </c>
      <c r="J34" s="125">
        <f>U24</f>
        <v>0</v>
      </c>
      <c r="K34" s="122"/>
      <c r="L34" s="128"/>
      <c r="M34" s="122"/>
      <c r="N34" s="122"/>
      <c r="O34" s="127"/>
      <c r="P34" s="122"/>
      <c r="Q34" s="122"/>
      <c r="R34" s="122"/>
      <c r="S34" s="122"/>
      <c r="T34" s="122"/>
      <c r="U34" s="122"/>
      <c r="V34" s="122"/>
      <c r="W34" s="68"/>
      <c r="Y34" s="68"/>
    </row>
    <row r="35" spans="2:25" ht="15.75" x14ac:dyDescent="0.25">
      <c r="B35" s="122"/>
      <c r="C35" s="122"/>
      <c r="D35" s="123"/>
      <c r="E35" s="122">
        <v>9</v>
      </c>
      <c r="F35" s="123"/>
      <c r="G35" s="122"/>
      <c r="H35" s="122"/>
      <c r="I35" s="124" t="str">
        <f>T5</f>
        <v>Pipefitter</v>
      </c>
      <c r="J35" s="125">
        <f>T24</f>
        <v>0</v>
      </c>
      <c r="K35" s="122"/>
      <c r="L35" s="122"/>
      <c r="M35" s="122"/>
      <c r="N35" s="122"/>
      <c r="O35" s="127"/>
      <c r="P35" s="122"/>
      <c r="Q35" s="122"/>
      <c r="R35" s="122"/>
      <c r="S35" s="122"/>
      <c r="T35" s="122"/>
      <c r="U35" s="122"/>
      <c r="V35" s="122"/>
      <c r="W35" s="68"/>
      <c r="Y35" s="68"/>
    </row>
    <row r="36" spans="2:25" ht="15.75" x14ac:dyDescent="0.25">
      <c r="B36" s="122"/>
      <c r="C36" s="122"/>
      <c r="D36" s="123"/>
      <c r="E36" s="122">
        <v>10</v>
      </c>
      <c r="F36" s="123"/>
      <c r="G36" s="122"/>
      <c r="H36" s="122"/>
      <c r="I36" s="124" t="str">
        <f>Q5</f>
        <v>Plumbers</v>
      </c>
      <c r="J36" s="125">
        <f>Q24</f>
        <v>0</v>
      </c>
      <c r="K36" s="122"/>
      <c r="L36" s="122"/>
      <c r="M36" s="122"/>
      <c r="N36" s="122"/>
      <c r="O36" s="127"/>
      <c r="P36" s="122"/>
      <c r="Q36" s="122"/>
      <c r="R36" s="122"/>
      <c r="S36" s="122"/>
      <c r="T36" s="122"/>
      <c r="U36" s="122"/>
      <c r="V36" s="122"/>
      <c r="W36" s="68"/>
      <c r="Y36" s="68"/>
    </row>
    <row r="37" spans="2:25" ht="15.75" x14ac:dyDescent="0.25">
      <c r="B37" s="122"/>
      <c r="C37" s="122"/>
      <c r="D37" s="123"/>
      <c r="E37" s="122">
        <v>11</v>
      </c>
      <c r="F37" s="123"/>
      <c r="G37" s="122"/>
      <c r="H37" s="122"/>
      <c r="I37" s="124" t="str">
        <f>W5</f>
        <v>Roofer</v>
      </c>
      <c r="J37" s="125">
        <f>W24</f>
        <v>0</v>
      </c>
      <c r="K37" s="122"/>
      <c r="L37" s="122"/>
      <c r="M37" s="122"/>
      <c r="N37" s="122"/>
      <c r="O37" s="127"/>
      <c r="P37" s="122"/>
      <c r="Q37" s="122"/>
      <c r="R37" s="122"/>
      <c r="S37" s="122"/>
      <c r="T37" s="122"/>
      <c r="U37" s="122"/>
      <c r="V37" s="122"/>
      <c r="W37" s="68"/>
      <c r="Y37" s="68"/>
    </row>
    <row r="38" spans="2:25" ht="15.75" x14ac:dyDescent="0.25">
      <c r="B38" s="122"/>
      <c r="C38" s="122"/>
      <c r="D38" s="123"/>
      <c r="E38" s="122">
        <v>12</v>
      </c>
      <c r="F38" s="123"/>
      <c r="G38" s="122"/>
      <c r="H38" s="122"/>
      <c r="I38" s="124" t="str">
        <f>R5</f>
        <v>Sheet Metal Workers</v>
      </c>
      <c r="J38" s="125">
        <f>R24</f>
        <v>0</v>
      </c>
      <c r="K38" s="122"/>
      <c r="L38" s="122"/>
      <c r="M38" s="122"/>
      <c r="N38" s="122"/>
      <c r="O38" s="127"/>
      <c r="P38" s="122"/>
      <c r="Q38" s="122"/>
      <c r="R38" s="122"/>
      <c r="S38" s="122"/>
      <c r="T38" s="122"/>
      <c r="U38" s="122"/>
      <c r="V38" s="122"/>
      <c r="W38" s="68"/>
      <c r="Y38" s="68"/>
    </row>
    <row r="39" spans="2:25" ht="15.75" x14ac:dyDescent="0.25">
      <c r="B39" s="122"/>
      <c r="C39" s="122"/>
      <c r="D39" s="123"/>
      <c r="E39" s="122">
        <v>13</v>
      </c>
      <c r="F39" s="123"/>
      <c r="G39" s="122"/>
      <c r="H39" s="122"/>
      <c r="I39" s="124" t="str">
        <f>V5</f>
        <v>Specialty Labor</v>
      </c>
      <c r="J39" s="125">
        <f>V24</f>
        <v>0</v>
      </c>
      <c r="K39" s="122"/>
      <c r="L39" s="122"/>
      <c r="M39" s="122"/>
      <c r="N39" s="122"/>
      <c r="O39" s="127"/>
      <c r="P39" s="122"/>
      <c r="Q39" s="122"/>
      <c r="R39" s="122"/>
      <c r="S39" s="122"/>
      <c r="T39" s="122"/>
      <c r="U39" s="122"/>
      <c r="V39" s="122"/>
      <c r="W39" s="68"/>
    </row>
    <row r="40" spans="2:25" x14ac:dyDescent="0.25">
      <c r="B40" s="122"/>
      <c r="C40" s="122"/>
      <c r="D40" s="123"/>
      <c r="E40" s="123"/>
      <c r="F40" s="129"/>
      <c r="G40" s="129"/>
      <c r="H40" s="122"/>
      <c r="I40" s="122"/>
      <c r="J40" s="122"/>
      <c r="K40" s="122"/>
      <c r="L40" s="122"/>
      <c r="M40" s="122"/>
      <c r="N40" s="122"/>
      <c r="O40" s="122"/>
      <c r="P40" s="122"/>
      <c r="Q40" s="122"/>
      <c r="R40" s="122"/>
      <c r="S40" s="122"/>
      <c r="T40" s="122"/>
      <c r="U40" s="122"/>
      <c r="V40" s="122"/>
      <c r="W40" s="68"/>
    </row>
    <row r="41" spans="2:25" x14ac:dyDescent="0.25">
      <c r="B41" s="122"/>
      <c r="C41" s="122"/>
      <c r="D41" s="123"/>
      <c r="E41" s="123"/>
      <c r="F41" s="129"/>
      <c r="G41" s="129"/>
      <c r="H41" s="122"/>
      <c r="I41" s="122"/>
      <c r="J41" s="122"/>
      <c r="K41" s="122"/>
      <c r="L41" s="122"/>
      <c r="M41" s="122"/>
      <c r="N41" s="122"/>
      <c r="O41" s="122"/>
      <c r="P41" s="122"/>
      <c r="Q41" s="122"/>
      <c r="R41" s="122"/>
      <c r="S41" s="122"/>
      <c r="T41" s="122"/>
      <c r="U41" s="122"/>
      <c r="V41" s="122"/>
      <c r="W41" s="68"/>
    </row>
    <row r="42" spans="2:25" x14ac:dyDescent="0.25">
      <c r="B42" s="122"/>
      <c r="C42" s="122"/>
      <c r="D42" s="122"/>
      <c r="E42" s="122"/>
      <c r="F42" s="122"/>
      <c r="G42" s="122"/>
      <c r="H42" s="122"/>
      <c r="I42" s="122"/>
      <c r="J42" s="122"/>
      <c r="K42" s="122"/>
      <c r="L42" s="122"/>
      <c r="M42" s="122"/>
      <c r="N42" s="122"/>
      <c r="O42" s="122"/>
      <c r="P42" s="122"/>
      <c r="Q42" s="122"/>
      <c r="R42" s="122"/>
      <c r="S42" s="122"/>
      <c r="T42" s="122"/>
      <c r="U42" s="122"/>
      <c r="V42" s="122"/>
      <c r="W42" s="68"/>
    </row>
    <row r="43" spans="2:25" x14ac:dyDescent="0.25">
      <c r="B43" s="122"/>
      <c r="C43" s="122"/>
      <c r="D43" s="122"/>
      <c r="E43" s="122"/>
      <c r="F43" s="122"/>
      <c r="G43" s="122"/>
      <c r="H43" s="122"/>
      <c r="I43" s="122"/>
      <c r="J43" s="122"/>
      <c r="K43" s="122"/>
      <c r="L43" s="122"/>
      <c r="M43" s="122"/>
      <c r="N43" s="122"/>
      <c r="O43" s="122"/>
      <c r="P43" s="122"/>
      <c r="Q43" s="122"/>
      <c r="R43" s="122"/>
      <c r="S43" s="122"/>
      <c r="T43" s="122"/>
      <c r="U43" s="122"/>
      <c r="V43" s="122"/>
      <c r="W43" s="68"/>
    </row>
    <row r="44" spans="2:25" x14ac:dyDescent="0.25">
      <c r="B44" s="122"/>
      <c r="C44" s="122"/>
      <c r="D44" s="122"/>
      <c r="E44" s="122"/>
      <c r="F44" s="123"/>
      <c r="G44" s="122"/>
      <c r="H44" s="122"/>
      <c r="I44" s="122"/>
      <c r="J44" s="122"/>
      <c r="K44" s="122"/>
      <c r="L44" s="122"/>
      <c r="M44" s="122"/>
      <c r="N44" s="122"/>
      <c r="O44" s="122"/>
      <c r="P44" s="122"/>
      <c r="Q44" s="122"/>
      <c r="R44" s="122"/>
      <c r="S44" s="122"/>
      <c r="T44" s="122"/>
      <c r="U44" s="122"/>
      <c r="V44" s="122"/>
      <c r="W44" s="68"/>
    </row>
    <row r="45" spans="2:25" ht="15.75" x14ac:dyDescent="0.25">
      <c r="B45" s="122"/>
      <c r="C45" s="130"/>
      <c r="D45" s="130"/>
      <c r="E45" s="130"/>
      <c r="F45" s="130"/>
      <c r="G45" s="130"/>
      <c r="H45" s="122"/>
      <c r="I45" s="126"/>
      <c r="J45" s="126"/>
      <c r="K45" s="126"/>
      <c r="L45" s="126"/>
      <c r="M45" s="126"/>
      <c r="N45" s="126"/>
      <c r="O45" s="126"/>
      <c r="P45" s="126"/>
      <c r="Q45" s="126"/>
      <c r="R45" s="126"/>
      <c r="S45" s="126"/>
      <c r="T45" s="126"/>
      <c r="U45" s="126"/>
      <c r="V45" s="126"/>
      <c r="W45" s="68"/>
    </row>
    <row r="46" spans="2:25" ht="15.75" x14ac:dyDescent="0.25">
      <c r="B46" s="122"/>
      <c r="C46" s="122"/>
      <c r="D46" s="123"/>
      <c r="E46" s="123"/>
      <c r="F46" s="129"/>
      <c r="G46" s="129"/>
      <c r="H46" s="122"/>
      <c r="I46" s="122"/>
      <c r="J46" s="122"/>
      <c r="K46" s="122"/>
      <c r="L46" s="122"/>
      <c r="M46" s="122"/>
      <c r="N46" s="122"/>
      <c r="O46" s="127"/>
      <c r="P46" s="122"/>
      <c r="Q46" s="122"/>
      <c r="R46" s="122"/>
      <c r="S46" s="122"/>
      <c r="T46" s="122"/>
      <c r="U46" s="122"/>
      <c r="V46" s="122"/>
      <c r="W46" s="68"/>
    </row>
    <row r="47" spans="2:25" ht="15.75" x14ac:dyDescent="0.25">
      <c r="B47" s="122"/>
      <c r="C47" s="122"/>
      <c r="D47" s="123"/>
      <c r="E47" s="123"/>
      <c r="F47" s="129"/>
      <c r="G47" s="129"/>
      <c r="H47" s="122"/>
      <c r="I47" s="122"/>
      <c r="J47" s="122"/>
      <c r="K47" s="122"/>
      <c r="L47" s="122"/>
      <c r="M47" s="122"/>
      <c r="N47" s="122"/>
      <c r="O47" s="127"/>
      <c r="P47" s="122"/>
      <c r="Q47" s="122"/>
      <c r="R47" s="122"/>
      <c r="S47" s="122"/>
      <c r="T47" s="122"/>
      <c r="U47" s="122"/>
      <c r="V47" s="122"/>
      <c r="W47" s="68"/>
    </row>
    <row r="48" spans="2:25" ht="15.75" x14ac:dyDescent="0.25">
      <c r="B48" s="122"/>
      <c r="C48" s="122"/>
      <c r="D48" s="123"/>
      <c r="E48" s="123"/>
      <c r="F48" s="129"/>
      <c r="G48" s="129"/>
      <c r="H48" s="122"/>
      <c r="I48" s="122"/>
      <c r="J48" s="122"/>
      <c r="K48" s="122"/>
      <c r="L48" s="122"/>
      <c r="M48" s="122"/>
      <c r="N48" s="122"/>
      <c r="O48" s="127"/>
      <c r="P48" s="122"/>
      <c r="Q48" s="122"/>
      <c r="R48" s="122"/>
      <c r="S48" s="122"/>
      <c r="T48" s="122"/>
      <c r="U48" s="122"/>
      <c r="V48" s="122"/>
      <c r="W48" s="68"/>
    </row>
    <row r="49" spans="2:23" ht="15.75" x14ac:dyDescent="0.25">
      <c r="B49" s="122"/>
      <c r="C49" s="122"/>
      <c r="D49" s="123"/>
      <c r="E49" s="123"/>
      <c r="F49" s="129"/>
      <c r="G49" s="129"/>
      <c r="H49" s="122"/>
      <c r="I49" s="122"/>
      <c r="J49" s="122"/>
      <c r="K49" s="122"/>
      <c r="L49" s="122"/>
      <c r="M49" s="122"/>
      <c r="N49" s="122"/>
      <c r="O49" s="127"/>
      <c r="P49" s="122"/>
      <c r="Q49" s="122"/>
      <c r="R49" s="122"/>
      <c r="S49" s="122"/>
      <c r="T49" s="122"/>
      <c r="U49" s="122"/>
      <c r="V49" s="122"/>
      <c r="W49" s="68"/>
    </row>
    <row r="50" spans="2:23" ht="15.75" x14ac:dyDescent="0.25">
      <c r="B50" s="122"/>
      <c r="C50" s="122"/>
      <c r="D50" s="123"/>
      <c r="E50" s="123"/>
      <c r="F50" s="129"/>
      <c r="G50" s="129"/>
      <c r="H50" s="122"/>
      <c r="I50" s="122"/>
      <c r="J50" s="122"/>
      <c r="K50" s="122"/>
      <c r="L50" s="122"/>
      <c r="M50" s="122"/>
      <c r="N50" s="122"/>
      <c r="O50" s="127"/>
      <c r="P50" s="122"/>
      <c r="Q50" s="122"/>
      <c r="R50" s="122"/>
      <c r="S50" s="122"/>
      <c r="T50" s="122"/>
      <c r="U50" s="122"/>
      <c r="V50" s="122"/>
      <c r="W50" s="68"/>
    </row>
    <row r="51" spans="2:23" ht="15.75" x14ac:dyDescent="0.25">
      <c r="B51" s="122"/>
      <c r="C51" s="122"/>
      <c r="D51" s="123"/>
      <c r="E51" s="123"/>
      <c r="F51" s="129"/>
      <c r="G51" s="129"/>
      <c r="H51" s="122"/>
      <c r="I51" s="122"/>
      <c r="J51" s="122"/>
      <c r="K51" s="122"/>
      <c r="L51" s="122"/>
      <c r="M51" s="122"/>
      <c r="N51" s="122"/>
      <c r="O51" s="127"/>
      <c r="P51" s="122"/>
      <c r="Q51" s="122"/>
      <c r="R51" s="122"/>
      <c r="S51" s="122"/>
      <c r="T51" s="122"/>
      <c r="U51" s="122"/>
      <c r="V51" s="122"/>
      <c r="W51" s="68"/>
    </row>
    <row r="52" spans="2:23" ht="15.75" x14ac:dyDescent="0.25">
      <c r="B52" s="122"/>
      <c r="C52" s="122"/>
      <c r="D52" s="123"/>
      <c r="E52" s="123"/>
      <c r="F52" s="129"/>
      <c r="G52" s="129"/>
      <c r="H52" s="122"/>
      <c r="I52" s="122"/>
      <c r="J52" s="122"/>
      <c r="K52" s="122"/>
      <c r="L52" s="122"/>
      <c r="M52" s="122"/>
      <c r="N52" s="122"/>
      <c r="O52" s="127"/>
      <c r="P52" s="122"/>
      <c r="Q52" s="122"/>
      <c r="R52" s="122"/>
      <c r="S52" s="122"/>
      <c r="T52" s="122"/>
      <c r="U52" s="122"/>
      <c r="V52" s="122"/>
      <c r="W52" s="68"/>
    </row>
    <row r="53" spans="2:23" ht="15.75" x14ac:dyDescent="0.25">
      <c r="B53" s="122"/>
      <c r="C53" s="122"/>
      <c r="D53" s="123"/>
      <c r="E53" s="123"/>
      <c r="F53" s="129"/>
      <c r="G53" s="129"/>
      <c r="H53" s="122"/>
      <c r="I53" s="122"/>
      <c r="J53" s="122"/>
      <c r="K53" s="122"/>
      <c r="L53" s="122"/>
      <c r="M53" s="122"/>
      <c r="N53" s="122"/>
      <c r="O53" s="127"/>
      <c r="P53" s="122"/>
      <c r="Q53" s="122"/>
      <c r="R53" s="122"/>
      <c r="S53" s="122"/>
      <c r="T53" s="122"/>
      <c r="U53" s="122"/>
      <c r="V53" s="122"/>
      <c r="W53" s="68"/>
    </row>
    <row r="54" spans="2:23" ht="15.75" x14ac:dyDescent="0.25">
      <c r="B54" s="122"/>
      <c r="C54" s="122"/>
      <c r="D54" s="123"/>
      <c r="E54" s="123"/>
      <c r="F54" s="129"/>
      <c r="G54" s="129"/>
      <c r="H54" s="122"/>
      <c r="I54" s="122"/>
      <c r="J54" s="122"/>
      <c r="K54" s="122"/>
      <c r="L54" s="122"/>
      <c r="M54" s="122"/>
      <c r="N54" s="122"/>
      <c r="O54" s="127"/>
      <c r="P54" s="122"/>
      <c r="Q54" s="122"/>
      <c r="R54" s="122"/>
      <c r="S54" s="122"/>
      <c r="T54" s="122"/>
      <c r="U54" s="122"/>
      <c r="V54" s="122"/>
      <c r="W54" s="68"/>
    </row>
    <row r="55" spans="2:23" ht="15.75" x14ac:dyDescent="0.25">
      <c r="B55" s="122"/>
      <c r="C55" s="122"/>
      <c r="D55" s="123"/>
      <c r="E55" s="123"/>
      <c r="F55" s="129"/>
      <c r="G55" s="129"/>
      <c r="H55" s="122"/>
      <c r="I55" s="122"/>
      <c r="J55" s="122"/>
      <c r="K55" s="122"/>
      <c r="L55" s="122"/>
      <c r="M55" s="122"/>
      <c r="N55" s="122"/>
      <c r="O55" s="127"/>
      <c r="P55" s="122"/>
      <c r="Q55" s="122"/>
      <c r="R55" s="122"/>
      <c r="S55" s="122"/>
      <c r="T55" s="122"/>
      <c r="U55" s="122"/>
      <c r="V55" s="122"/>
      <c r="W55" s="68"/>
    </row>
    <row r="56" spans="2:23" ht="15.75" x14ac:dyDescent="0.25">
      <c r="B56" s="122"/>
      <c r="C56" s="122"/>
      <c r="D56" s="123"/>
      <c r="E56" s="123"/>
      <c r="F56" s="129"/>
      <c r="G56" s="129"/>
      <c r="H56" s="122"/>
      <c r="I56" s="122"/>
      <c r="J56" s="122"/>
      <c r="K56" s="122"/>
      <c r="L56" s="122"/>
      <c r="M56" s="122"/>
      <c r="N56" s="122"/>
      <c r="O56" s="127"/>
      <c r="P56" s="122"/>
      <c r="Q56" s="122"/>
      <c r="R56" s="122"/>
      <c r="S56" s="122"/>
      <c r="T56" s="122"/>
      <c r="U56" s="122"/>
      <c r="V56" s="122"/>
      <c r="W56" s="68"/>
    </row>
    <row r="57" spans="2:23" ht="15.75" x14ac:dyDescent="0.25">
      <c r="B57" s="122"/>
      <c r="C57" s="122"/>
      <c r="D57" s="123"/>
      <c r="E57" s="123"/>
      <c r="F57" s="129"/>
      <c r="G57" s="129"/>
      <c r="H57" s="122"/>
      <c r="I57" s="122"/>
      <c r="J57" s="122"/>
      <c r="K57" s="122"/>
      <c r="L57" s="122"/>
      <c r="M57" s="122"/>
      <c r="N57" s="122"/>
      <c r="O57" s="127"/>
      <c r="P57" s="122"/>
      <c r="Q57" s="122"/>
      <c r="R57" s="122"/>
      <c r="S57" s="122"/>
      <c r="T57" s="122"/>
      <c r="U57" s="122"/>
      <c r="V57" s="122"/>
      <c r="W57" s="68"/>
    </row>
    <row r="58" spans="2:23" ht="15.75" x14ac:dyDescent="0.25">
      <c r="B58" s="122"/>
      <c r="C58" s="122"/>
      <c r="D58" s="123"/>
      <c r="E58" s="123"/>
      <c r="F58" s="129"/>
      <c r="G58" s="129"/>
      <c r="H58" s="122"/>
      <c r="I58" s="122"/>
      <c r="J58" s="122"/>
      <c r="K58" s="122"/>
      <c r="L58" s="122"/>
      <c r="M58" s="122"/>
      <c r="N58" s="122"/>
      <c r="O58" s="127"/>
      <c r="P58" s="122"/>
      <c r="Q58" s="122"/>
      <c r="R58" s="122"/>
      <c r="S58" s="122"/>
      <c r="T58" s="122"/>
      <c r="U58" s="122"/>
      <c r="V58" s="122"/>
      <c r="W58" s="68"/>
    </row>
    <row r="59" spans="2:23" x14ac:dyDescent="0.25">
      <c r="B59" s="122"/>
      <c r="C59" s="122"/>
      <c r="D59" s="123"/>
      <c r="E59" s="123"/>
      <c r="F59" s="129"/>
      <c r="G59" s="129"/>
      <c r="H59" s="122"/>
      <c r="I59" s="122"/>
      <c r="J59" s="122"/>
      <c r="K59" s="122"/>
      <c r="L59" s="122"/>
      <c r="M59" s="122"/>
      <c r="N59" s="122"/>
      <c r="O59" s="122"/>
      <c r="P59" s="122"/>
      <c r="Q59" s="122"/>
      <c r="R59" s="122"/>
      <c r="S59" s="122"/>
      <c r="T59" s="122"/>
      <c r="U59" s="122"/>
      <c r="V59" s="122"/>
      <c r="W59" s="68"/>
    </row>
    <row r="60" spans="2:23" x14ac:dyDescent="0.25">
      <c r="B60" s="122"/>
      <c r="C60" s="122"/>
      <c r="D60" s="123"/>
      <c r="E60" s="123"/>
      <c r="F60" s="129"/>
      <c r="G60" s="129"/>
      <c r="H60" s="122"/>
      <c r="I60" s="122"/>
      <c r="J60" s="122"/>
      <c r="K60" s="122"/>
      <c r="L60" s="122"/>
      <c r="M60" s="122"/>
      <c r="N60" s="122"/>
      <c r="O60" s="122"/>
      <c r="P60" s="122"/>
      <c r="Q60" s="122"/>
      <c r="R60" s="122"/>
      <c r="S60" s="122"/>
      <c r="T60" s="122"/>
      <c r="U60" s="122"/>
      <c r="V60" s="122"/>
      <c r="W60" s="68"/>
    </row>
    <row r="61" spans="2:23" x14ac:dyDescent="0.25">
      <c r="B61" s="68"/>
      <c r="C61" s="68"/>
      <c r="D61" s="68"/>
      <c r="E61" s="68"/>
      <c r="F61" s="68"/>
      <c r="G61" s="68"/>
      <c r="H61" s="68"/>
      <c r="I61" s="68"/>
      <c r="J61" s="68"/>
      <c r="K61" s="68"/>
      <c r="L61" s="68"/>
      <c r="M61" s="68"/>
      <c r="N61" s="68"/>
      <c r="O61" s="68"/>
      <c r="P61" s="68"/>
      <c r="Q61" s="68"/>
      <c r="R61" s="68"/>
      <c r="S61" s="68"/>
      <c r="T61" s="68"/>
      <c r="U61" s="68"/>
      <c r="V61" s="68"/>
      <c r="W61" s="68"/>
    </row>
    <row r="62" spans="2:23" x14ac:dyDescent="0.25">
      <c r="B62" s="68"/>
      <c r="C62" s="68"/>
      <c r="D62" s="68"/>
      <c r="E62" s="68"/>
      <c r="F62" s="68"/>
      <c r="G62" s="68"/>
      <c r="H62" s="68"/>
      <c r="I62" s="68"/>
      <c r="J62" s="68"/>
      <c r="K62" s="68"/>
      <c r="L62" s="68"/>
      <c r="M62" s="68"/>
      <c r="N62" s="68"/>
      <c r="O62" s="68"/>
      <c r="P62" s="68"/>
      <c r="Q62" s="68"/>
      <c r="R62" s="68"/>
      <c r="S62" s="68"/>
      <c r="T62" s="68"/>
      <c r="U62" s="68"/>
      <c r="V62" s="68"/>
      <c r="W62" s="68"/>
    </row>
    <row r="63" spans="2:23" x14ac:dyDescent="0.25">
      <c r="H63" s="68"/>
      <c r="I63" s="68"/>
      <c r="J63" s="68"/>
      <c r="K63" s="68"/>
      <c r="L63" s="68"/>
      <c r="M63" s="68"/>
      <c r="N63" s="68"/>
      <c r="O63" s="68"/>
      <c r="P63" s="68"/>
      <c r="Q63" s="68"/>
      <c r="R63" s="68"/>
      <c r="S63" s="68"/>
      <c r="T63" s="68"/>
      <c r="U63" s="68"/>
      <c r="V63" s="68"/>
      <c r="W63" s="68"/>
    </row>
    <row r="64" spans="2:23" x14ac:dyDescent="0.25">
      <c r="H64" s="68"/>
      <c r="I64" s="68"/>
      <c r="J64" s="68"/>
      <c r="K64" s="68"/>
      <c r="L64" s="68"/>
      <c r="M64" s="68"/>
      <c r="N64" s="68"/>
      <c r="O64" s="68"/>
      <c r="P64" s="68"/>
      <c r="Q64" s="68"/>
      <c r="R64" s="68"/>
      <c r="S64" s="68"/>
      <c r="T64" s="68"/>
      <c r="U64" s="68"/>
      <c r="V64" s="68"/>
      <c r="W64" s="68"/>
    </row>
    <row r="65" spans="8:23" x14ac:dyDescent="0.25">
      <c r="H65" s="68"/>
      <c r="I65" s="68"/>
      <c r="J65" s="68"/>
      <c r="K65" s="68"/>
      <c r="L65" s="68"/>
      <c r="M65" s="68"/>
      <c r="N65" s="68"/>
      <c r="O65" s="68"/>
      <c r="P65" s="68"/>
      <c r="Q65" s="68"/>
      <c r="R65" s="68"/>
      <c r="S65" s="68"/>
      <c r="T65" s="68"/>
      <c r="U65" s="68"/>
      <c r="V65" s="68"/>
      <c r="W65" s="68"/>
    </row>
    <row r="66" spans="8:23" x14ac:dyDescent="0.25">
      <c r="H66" s="68"/>
      <c r="I66" s="68"/>
      <c r="J66" s="68"/>
      <c r="K66" s="68"/>
      <c r="L66" s="68"/>
      <c r="M66" s="68"/>
      <c r="N66" s="68"/>
      <c r="O66" s="68"/>
      <c r="P66" s="68"/>
      <c r="Q66" s="68"/>
      <c r="R66" s="68"/>
      <c r="S66" s="68"/>
      <c r="T66" s="68"/>
      <c r="U66" s="68"/>
      <c r="V66" s="68"/>
      <c r="W66" s="68"/>
    </row>
    <row r="67" spans="8:23" x14ac:dyDescent="0.25">
      <c r="H67" s="68"/>
      <c r="I67" s="68"/>
      <c r="J67" s="68"/>
      <c r="K67" s="68"/>
      <c r="L67" s="68"/>
      <c r="M67" s="68"/>
      <c r="N67" s="68"/>
      <c r="O67" s="68"/>
      <c r="P67" s="68"/>
      <c r="Q67" s="68"/>
      <c r="R67" s="68"/>
      <c r="S67" s="68"/>
      <c r="T67" s="68"/>
      <c r="U67" s="68"/>
      <c r="V67" s="68"/>
      <c r="W67" s="68"/>
    </row>
    <row r="68" spans="8:23" x14ac:dyDescent="0.25">
      <c r="H68" s="68"/>
      <c r="I68" s="68"/>
      <c r="J68" s="68"/>
      <c r="K68" s="68"/>
      <c r="L68" s="68"/>
      <c r="M68" s="68"/>
      <c r="N68" s="68"/>
      <c r="O68" s="68"/>
      <c r="P68" s="68"/>
      <c r="Q68" s="68"/>
      <c r="R68" s="68"/>
      <c r="S68" s="68"/>
      <c r="T68" s="68"/>
      <c r="U68" s="68"/>
      <c r="V68" s="68"/>
      <c r="W68" s="68"/>
    </row>
    <row r="69" spans="8:23" x14ac:dyDescent="0.25">
      <c r="H69" s="68"/>
      <c r="I69" s="68"/>
      <c r="J69" s="68"/>
      <c r="K69" s="68"/>
      <c r="L69" s="68"/>
      <c r="M69" s="68"/>
      <c r="N69" s="68"/>
      <c r="O69" s="68"/>
      <c r="P69" s="68"/>
      <c r="Q69" s="68"/>
      <c r="R69" s="68"/>
      <c r="S69" s="68"/>
      <c r="T69" s="68"/>
      <c r="U69" s="68"/>
      <c r="V69" s="68"/>
      <c r="W69" s="68"/>
    </row>
    <row r="70" spans="8:23" x14ac:dyDescent="0.25">
      <c r="H70" s="68"/>
      <c r="I70" s="68"/>
      <c r="J70" s="68"/>
      <c r="K70" s="68"/>
      <c r="L70" s="68"/>
      <c r="M70" s="68"/>
      <c r="N70" s="68"/>
      <c r="O70" s="68"/>
      <c r="P70" s="68"/>
      <c r="Q70" s="68"/>
      <c r="R70" s="68"/>
      <c r="S70" s="68"/>
      <c r="T70" s="68"/>
      <c r="U70" s="68"/>
      <c r="V70" s="68"/>
      <c r="W70" s="68"/>
    </row>
    <row r="71" spans="8:23" x14ac:dyDescent="0.25">
      <c r="H71" s="68"/>
      <c r="I71" s="68"/>
      <c r="J71" s="68"/>
      <c r="K71" s="68"/>
      <c r="L71" s="68"/>
      <c r="M71" s="68"/>
      <c r="N71" s="68"/>
      <c r="O71" s="68"/>
      <c r="P71" s="68"/>
      <c r="Q71" s="68"/>
      <c r="R71" s="68"/>
      <c r="S71" s="68"/>
      <c r="T71" s="68"/>
      <c r="U71" s="68"/>
      <c r="V71" s="68"/>
      <c r="W71" s="68"/>
    </row>
  </sheetData>
  <mergeCells count="2">
    <mergeCell ref="I7:W7"/>
    <mergeCell ref="B26:C26"/>
  </mergeCells>
  <phoneticPr fontId="57" type="noConversion"/>
  <pageMargins left="0.7" right="0.7" top="0.75" bottom="0.75" header="0.3" footer="0.3"/>
  <pageSetup scale="41" orientation="landscape" r:id="rId1"/>
  <headerFooter>
    <oddHeader>&amp;C&amp;A&amp;R&amp;A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B2:AB71"/>
  <sheetViews>
    <sheetView zoomScale="60" zoomScaleNormal="60" workbookViewId="0">
      <selection activeCell="I2" sqref="I2"/>
    </sheetView>
  </sheetViews>
  <sheetFormatPr defaultRowHeight="15" x14ac:dyDescent="0.25"/>
  <cols>
    <col min="2" max="2" width="12.140625" bestFit="1" customWidth="1"/>
    <col min="3" max="3" width="11.5703125" customWidth="1"/>
    <col min="4" max="4" width="15.7109375" bestFit="1" customWidth="1"/>
    <col min="5" max="5" width="13.85546875" customWidth="1"/>
    <col min="6" max="6" width="11.5703125" customWidth="1"/>
    <col min="7" max="7" width="12.85546875" bestFit="1" customWidth="1"/>
    <col min="8" max="8" width="17" customWidth="1"/>
    <col min="9" max="9" width="9.28515625" customWidth="1"/>
    <col min="10" max="10" width="9.7109375" bestFit="1" customWidth="1"/>
    <col min="11" max="11" width="8.5703125" customWidth="1"/>
    <col min="12" max="12" width="11" bestFit="1" customWidth="1"/>
    <col min="13" max="13" width="10.140625" customWidth="1"/>
    <col min="14" max="14" width="12.28515625" bestFit="1" customWidth="1"/>
    <col min="15" max="15" width="10.140625" customWidth="1"/>
    <col min="16" max="16" width="11.140625" customWidth="1"/>
    <col min="17" max="17" width="12" customWidth="1"/>
    <col min="18" max="18" width="10.7109375" customWidth="1"/>
    <col min="19" max="19" width="13.140625" customWidth="1"/>
    <col min="20" max="22" width="10.140625" customWidth="1"/>
    <col min="24" max="24" width="9.7109375" bestFit="1" customWidth="1"/>
    <col min="25" max="25" width="10" bestFit="1" customWidth="1"/>
  </cols>
  <sheetData>
    <row r="2" spans="2:28" x14ac:dyDescent="0.25">
      <c r="B2" t="s">
        <v>132</v>
      </c>
      <c r="D2" t="s">
        <v>102</v>
      </c>
      <c r="E2" s="375"/>
      <c r="F2" t="s">
        <v>37</v>
      </c>
      <c r="G2" s="375"/>
      <c r="I2" s="53" t="s">
        <v>417</v>
      </c>
      <c r="M2" s="53"/>
      <c r="N2" s="53"/>
    </row>
    <row r="3" spans="2:28" ht="15.75" thickBot="1" x14ac:dyDescent="0.3">
      <c r="X3" s="54"/>
      <c r="Y3" s="54"/>
    </row>
    <row r="4" spans="2:28" ht="15.75" thickBot="1" x14ac:dyDescent="0.3">
      <c r="B4" s="55"/>
      <c r="C4" s="56"/>
      <c r="D4" s="56"/>
      <c r="E4" s="56"/>
      <c r="F4" s="57" t="s">
        <v>103</v>
      </c>
      <c r="G4" s="373"/>
      <c r="H4" s="56"/>
      <c r="I4" s="56"/>
      <c r="J4" s="56"/>
      <c r="K4" s="56"/>
      <c r="L4" s="56"/>
      <c r="M4" s="56"/>
      <c r="N4" s="56"/>
      <c r="O4" s="56"/>
      <c r="P4" s="56"/>
      <c r="Q4" s="56"/>
      <c r="R4" s="56"/>
      <c r="S4" s="56"/>
      <c r="T4" s="56"/>
      <c r="U4" s="56"/>
      <c r="V4" s="56"/>
      <c r="W4" s="58"/>
      <c r="X4" s="55"/>
      <c r="Y4" s="58"/>
    </row>
    <row r="5" spans="2:28" ht="110.25" customHeight="1" thickBot="1" x14ac:dyDescent="0.3">
      <c r="B5" s="55"/>
      <c r="C5" s="59" t="s">
        <v>104</v>
      </c>
      <c r="D5" s="59" t="s">
        <v>105</v>
      </c>
      <c r="E5" s="59" t="s">
        <v>106</v>
      </c>
      <c r="F5" s="59" t="s">
        <v>107</v>
      </c>
      <c r="G5" s="60" t="s">
        <v>108</v>
      </c>
      <c r="H5" s="61"/>
      <c r="I5" s="62" t="s">
        <v>109</v>
      </c>
      <c r="J5" s="63" t="s">
        <v>110</v>
      </c>
      <c r="K5" s="63" t="s">
        <v>111</v>
      </c>
      <c r="L5" s="63" t="s">
        <v>112</v>
      </c>
      <c r="M5" s="63" t="s">
        <v>113</v>
      </c>
      <c r="N5" s="63" t="s">
        <v>114</v>
      </c>
      <c r="O5" s="63" t="s">
        <v>115</v>
      </c>
      <c r="P5" s="63" t="s">
        <v>116</v>
      </c>
      <c r="Q5" s="63" t="s">
        <v>117</v>
      </c>
      <c r="R5" s="63" t="s">
        <v>118</v>
      </c>
      <c r="S5" s="63" t="s">
        <v>119</v>
      </c>
      <c r="T5" s="63" t="s">
        <v>120</v>
      </c>
      <c r="U5" s="63" t="s">
        <v>121</v>
      </c>
      <c r="V5" s="64" t="s">
        <v>122</v>
      </c>
      <c r="W5" s="65" t="s">
        <v>123</v>
      </c>
      <c r="X5" s="66" t="s">
        <v>124</v>
      </c>
      <c r="Y5" s="67" t="s">
        <v>125</v>
      </c>
      <c r="Z5" s="68"/>
      <c r="AA5" s="68"/>
      <c r="AB5" s="68"/>
    </row>
    <row r="6" spans="2:28" ht="20.25" customHeight="1" thickBot="1" x14ac:dyDescent="0.3">
      <c r="B6" s="55"/>
      <c r="C6" s="69"/>
      <c r="D6" s="70">
        <f>SUM(D8:D22)</f>
        <v>0</v>
      </c>
      <c r="E6" s="70">
        <f>SUM(E8:E22)</f>
        <v>0</v>
      </c>
      <c r="F6" s="69"/>
      <c r="G6" s="71"/>
      <c r="H6" s="72" t="s">
        <v>126</v>
      </c>
      <c r="I6" s="73">
        <f>'S lining weights'!I6</f>
        <v>48.620999999999995</v>
      </c>
      <c r="J6" s="73">
        <f>'S lining weights'!J6</f>
        <v>48.620999999999995</v>
      </c>
      <c r="K6" s="73">
        <f>'S lining weights'!K6</f>
        <v>54.163724999999992</v>
      </c>
      <c r="L6" s="73">
        <f>'S lining weights'!L6</f>
        <v>59.576999999999998</v>
      </c>
      <c r="M6" s="73">
        <f>'S lining weights'!M6</f>
        <v>57.789000000000001</v>
      </c>
      <c r="N6" s="73">
        <f>'S lining weights'!N6</f>
        <v>45.515999999999998</v>
      </c>
      <c r="O6" s="73">
        <f>'S lining weights'!O6</f>
        <v>49.569000000000003</v>
      </c>
      <c r="P6" s="73">
        <f>'S lining weights'!P6</f>
        <v>44.298000000000002</v>
      </c>
      <c r="Q6" s="73">
        <f>'S lining weights'!Q6</f>
        <v>58.824150000000003</v>
      </c>
      <c r="R6" s="73">
        <f>'S lining weights'!R6</f>
        <v>64.648237499999993</v>
      </c>
      <c r="S6" s="73">
        <f>'S lining weights'!S6</f>
        <v>50.504999999999995</v>
      </c>
      <c r="T6" s="73">
        <f>'S lining weights'!T6</f>
        <v>61.116</v>
      </c>
      <c r="U6" s="73">
        <f>'S lining weights'!U6</f>
        <v>44.870999999999995</v>
      </c>
      <c r="V6" s="73">
        <f>'S lining weights'!V6</f>
        <v>50</v>
      </c>
      <c r="W6" s="74">
        <f>'S lining weights'!W6</f>
        <v>37.152000000000001</v>
      </c>
      <c r="X6" s="75"/>
      <c r="Y6" s="58"/>
      <c r="Z6" s="68"/>
      <c r="AA6" s="68"/>
      <c r="AB6" s="68"/>
    </row>
    <row r="7" spans="2:28" ht="20.25" customHeight="1" thickBot="1" x14ac:dyDescent="0.3">
      <c r="B7" s="76"/>
      <c r="C7" s="77"/>
      <c r="D7" s="78"/>
      <c r="E7" s="78"/>
      <c r="F7" s="77"/>
      <c r="G7" s="79"/>
      <c r="H7" s="72" t="s">
        <v>127</v>
      </c>
      <c r="I7" s="446" t="s">
        <v>128</v>
      </c>
      <c r="J7" s="447"/>
      <c r="K7" s="447"/>
      <c r="L7" s="447"/>
      <c r="M7" s="447"/>
      <c r="N7" s="447"/>
      <c r="O7" s="447"/>
      <c r="P7" s="447"/>
      <c r="Q7" s="447"/>
      <c r="R7" s="447"/>
      <c r="S7" s="447"/>
      <c r="T7" s="447"/>
      <c r="U7" s="447"/>
      <c r="V7" s="447"/>
      <c r="W7" s="448"/>
      <c r="X7" s="80"/>
      <c r="Y7" s="81"/>
      <c r="Z7" s="68"/>
      <c r="AA7" s="68"/>
      <c r="AB7" s="68"/>
    </row>
    <row r="8" spans="2:28" x14ac:dyDescent="0.25">
      <c r="B8" s="76"/>
      <c r="C8" s="77">
        <v>2</v>
      </c>
      <c r="D8" s="82">
        <f t="shared" ref="D8:E22" si="0">$G$4*F8</f>
        <v>0</v>
      </c>
      <c r="E8" s="82">
        <f t="shared" si="0"/>
        <v>0</v>
      </c>
      <c r="F8" s="83">
        <f>'S lining weights'!F8</f>
        <v>0.52</v>
      </c>
      <c r="G8" s="84">
        <v>0</v>
      </c>
      <c r="H8" s="85">
        <f>$G$4*F8</f>
        <v>0</v>
      </c>
      <c r="I8" s="86">
        <f>'S lining weights'!I8</f>
        <v>0</v>
      </c>
      <c r="J8" s="86">
        <f>'S lining weights'!J8</f>
        <v>0</v>
      </c>
      <c r="K8" s="86">
        <f>'S lining weights'!K8</f>
        <v>0</v>
      </c>
      <c r="L8" s="86">
        <f>'S lining weights'!L8</f>
        <v>7.0000000000000007E-2</v>
      </c>
      <c r="M8" s="86">
        <f>'S lining weights'!M8</f>
        <v>0</v>
      </c>
      <c r="N8" s="86">
        <f>'S lining weights'!N8</f>
        <v>0.93</v>
      </c>
      <c r="O8" s="86">
        <f>'S lining weights'!O8</f>
        <v>0</v>
      </c>
      <c r="P8" s="86">
        <f>'S lining weights'!P8</f>
        <v>0</v>
      </c>
      <c r="Q8" s="86">
        <f>'S lining weights'!Q8</f>
        <v>0</v>
      </c>
      <c r="R8" s="86">
        <f>'S lining weights'!R8</f>
        <v>0</v>
      </c>
      <c r="S8" s="86">
        <f>'S lining weights'!S8</f>
        <v>0</v>
      </c>
      <c r="T8" s="86">
        <f>'S lining weights'!T8</f>
        <v>0</v>
      </c>
      <c r="U8" s="86">
        <f>'S lining weights'!U8</f>
        <v>0</v>
      </c>
      <c r="V8" s="86">
        <f>'S lining weights'!V8</f>
        <v>0</v>
      </c>
      <c r="W8" s="87">
        <f>'S lining weights'!W8</f>
        <v>0</v>
      </c>
      <c r="X8" s="88">
        <f>I8*$I$6+J8*$J$6+K8*$K$6+L8*$L$6+M8*$M$6+N8*$N$6+O8*$O$6+P8*$P$6+Q8*$Q$6+R8*$R$6+S8*$S$6+T8*$T$6+U8*$U$6+V8*$V$6+W8*$W$6</f>
        <v>46.50027</v>
      </c>
      <c r="Y8" s="89">
        <f t="shared" ref="Y8:Y22" si="1">H8/X8</f>
        <v>0</v>
      </c>
      <c r="Z8" s="68"/>
      <c r="AA8" s="90"/>
      <c r="AB8" s="68"/>
    </row>
    <row r="9" spans="2:28" x14ac:dyDescent="0.25">
      <c r="B9" s="91"/>
      <c r="C9" s="92">
        <v>3</v>
      </c>
      <c r="D9" s="93">
        <f t="shared" si="0"/>
        <v>0</v>
      </c>
      <c r="E9" s="93">
        <f t="shared" si="0"/>
        <v>0</v>
      </c>
      <c r="F9" s="94">
        <f>'S lining weights'!F9</f>
        <v>0</v>
      </c>
      <c r="G9" s="95">
        <v>0</v>
      </c>
      <c r="H9" s="85">
        <f t="shared" ref="H9:H22" si="2">$G$4*F9</f>
        <v>0</v>
      </c>
      <c r="I9" s="86">
        <f>'S lining weights'!I9</f>
        <v>0.28499999999999998</v>
      </c>
      <c r="J9" s="86">
        <f>'S lining weights'!J9</f>
        <v>0</v>
      </c>
      <c r="K9" s="86">
        <f>'S lining weights'!K9</f>
        <v>0</v>
      </c>
      <c r="L9" s="86">
        <f>'S lining weights'!L9</f>
        <v>0.14199999999999999</v>
      </c>
      <c r="M9" s="86">
        <f>'S lining weights'!M9</f>
        <v>0.14199999999999999</v>
      </c>
      <c r="N9" s="86">
        <f>'S lining weights'!N9</f>
        <v>0.28499999999999998</v>
      </c>
      <c r="O9" s="86">
        <f>'S lining weights'!O9</f>
        <v>0.14199999999999999</v>
      </c>
      <c r="P9" s="86">
        <f>'S lining weights'!P9</f>
        <v>0</v>
      </c>
      <c r="Q9" s="86">
        <f>'S lining weights'!Q9</f>
        <v>0</v>
      </c>
      <c r="R9" s="86">
        <f>'S lining weights'!R9</f>
        <v>0</v>
      </c>
      <c r="S9" s="86">
        <f>'S lining weights'!S9</f>
        <v>0</v>
      </c>
      <c r="T9" s="86">
        <f>'S lining weights'!T9</f>
        <v>0</v>
      </c>
      <c r="U9" s="86">
        <f>'S lining weights'!U9</f>
        <v>0</v>
      </c>
      <c r="V9" s="86">
        <f>'S lining weights'!V9</f>
        <v>0</v>
      </c>
      <c r="W9" s="87">
        <f>'S lining weights'!W9</f>
        <v>0</v>
      </c>
      <c r="X9" s="88">
        <f t="shared" ref="X9:X22" si="3">I9*$I$6+J9*$J$6+K9*$K$6+L9*$L$6+M9*$M$6+N9*$N$6+O9*$O$6+P9*$P$6+Q9*$Q$6+R9*$R$6+S9*$S$6+T9*$T$6+U9*$U$6+V9*$V$6+W9*$W$6</f>
        <v>50.533814999999997</v>
      </c>
      <c r="Y9" s="89">
        <f t="shared" si="1"/>
        <v>0</v>
      </c>
      <c r="Z9" s="68"/>
      <c r="AA9" s="90"/>
      <c r="AB9" s="68"/>
    </row>
    <row r="10" spans="2:28" x14ac:dyDescent="0.25">
      <c r="B10" s="91"/>
      <c r="C10" s="92">
        <v>4</v>
      </c>
      <c r="D10" s="93">
        <f t="shared" si="0"/>
        <v>0</v>
      </c>
      <c r="E10" s="93">
        <f t="shared" si="0"/>
        <v>0</v>
      </c>
      <c r="F10" s="94">
        <f>'S lining weights'!F10</f>
        <v>0</v>
      </c>
      <c r="G10" s="95">
        <v>0</v>
      </c>
      <c r="H10" s="85">
        <f t="shared" si="2"/>
        <v>0</v>
      </c>
      <c r="I10" s="86">
        <f>'S lining weights'!I10</f>
        <v>0</v>
      </c>
      <c r="J10" s="86">
        <f>'S lining weights'!J10</f>
        <v>0</v>
      </c>
      <c r="K10" s="86">
        <f>'S lining weights'!K10</f>
        <v>0</v>
      </c>
      <c r="L10" s="86">
        <f>'S lining weights'!L10</f>
        <v>0</v>
      </c>
      <c r="M10" s="86">
        <f>'S lining weights'!M10</f>
        <v>0</v>
      </c>
      <c r="N10" s="86">
        <f>'S lining weights'!N10</f>
        <v>0.4</v>
      </c>
      <c r="O10" s="86">
        <f>'S lining weights'!O10</f>
        <v>0.6</v>
      </c>
      <c r="P10" s="86">
        <f>'S lining weights'!P10</f>
        <v>0</v>
      </c>
      <c r="Q10" s="86">
        <f>'S lining weights'!Q10</f>
        <v>0</v>
      </c>
      <c r="R10" s="86">
        <f>'S lining weights'!R10</f>
        <v>0</v>
      </c>
      <c r="S10" s="86">
        <f>'S lining weights'!S10</f>
        <v>0</v>
      </c>
      <c r="T10" s="86">
        <f>'S lining weights'!T10</f>
        <v>0</v>
      </c>
      <c r="U10" s="86">
        <f>'S lining weights'!U10</f>
        <v>0</v>
      </c>
      <c r="V10" s="86">
        <f>'S lining weights'!V10</f>
        <v>0</v>
      </c>
      <c r="W10" s="87">
        <f>'S lining weights'!W10</f>
        <v>0</v>
      </c>
      <c r="X10" s="88">
        <f>I10*$I$6+J10*$J$6+K10*$K$6+L10*$L$6+M10*$M$6+N10*$N$6+O10*$O$6+P10*$P$6+Q10*$Q$6+R10*$R$6+S10*$S$6+T10*$T$6+U10*$U$6+V10*$V$6+W10*$W$6</f>
        <v>47.947800000000001</v>
      </c>
      <c r="Y10" s="89">
        <f t="shared" si="1"/>
        <v>0</v>
      </c>
      <c r="Z10" s="68"/>
      <c r="AA10" s="90"/>
      <c r="AB10" s="68"/>
    </row>
    <row r="11" spans="2:28" x14ac:dyDescent="0.25">
      <c r="B11" s="91"/>
      <c r="C11" s="92">
        <v>5</v>
      </c>
      <c r="D11" s="93">
        <f t="shared" si="0"/>
        <v>0</v>
      </c>
      <c r="E11" s="93">
        <f t="shared" si="0"/>
        <v>0</v>
      </c>
      <c r="F11" s="94">
        <f>'S lining weights'!F11</f>
        <v>0</v>
      </c>
      <c r="G11" s="95">
        <v>0</v>
      </c>
      <c r="H11" s="85">
        <f t="shared" si="2"/>
        <v>0</v>
      </c>
      <c r="I11" s="86">
        <f>'S lining weights'!I11</f>
        <v>1</v>
      </c>
      <c r="J11" s="86">
        <f>'S lining weights'!J11</f>
        <v>0</v>
      </c>
      <c r="K11" s="86">
        <f>'S lining weights'!K11</f>
        <v>0</v>
      </c>
      <c r="L11" s="86">
        <f>'S lining weights'!L11</f>
        <v>0</v>
      </c>
      <c r="M11" s="86">
        <f>'S lining weights'!M11</f>
        <v>0</v>
      </c>
      <c r="N11" s="86">
        <f>'S lining weights'!N11</f>
        <v>0</v>
      </c>
      <c r="O11" s="86">
        <f>'S lining weights'!O11</f>
        <v>0</v>
      </c>
      <c r="P11" s="86">
        <f>'S lining weights'!P11</f>
        <v>0</v>
      </c>
      <c r="Q11" s="86">
        <f>'S lining weights'!Q11</f>
        <v>0</v>
      </c>
      <c r="R11" s="86">
        <f>'S lining weights'!R11</f>
        <v>0</v>
      </c>
      <c r="S11" s="86">
        <f>'S lining weights'!S11</f>
        <v>0</v>
      </c>
      <c r="T11" s="86">
        <f>'S lining weights'!T11</f>
        <v>0</v>
      </c>
      <c r="U11" s="86">
        <f>'S lining weights'!U11</f>
        <v>0</v>
      </c>
      <c r="V11" s="86">
        <f>'S lining weights'!V11</f>
        <v>0</v>
      </c>
      <c r="W11" s="87">
        <f>'S lining weights'!W11</f>
        <v>0</v>
      </c>
      <c r="X11" s="88">
        <f t="shared" si="3"/>
        <v>48.620999999999995</v>
      </c>
      <c r="Y11" s="89">
        <f t="shared" si="1"/>
        <v>0</v>
      </c>
      <c r="Z11" s="68"/>
      <c r="AA11" s="90"/>
      <c r="AB11" s="68"/>
    </row>
    <row r="12" spans="2:28" x14ac:dyDescent="0.25">
      <c r="B12" s="91"/>
      <c r="C12" s="92">
        <v>6</v>
      </c>
      <c r="D12" s="93">
        <f t="shared" si="0"/>
        <v>0</v>
      </c>
      <c r="E12" s="93">
        <f t="shared" si="0"/>
        <v>0</v>
      </c>
      <c r="F12" s="94">
        <f>'S lining weights'!F12</f>
        <v>0</v>
      </c>
      <c r="G12" s="95">
        <v>0</v>
      </c>
      <c r="H12" s="85">
        <f t="shared" si="2"/>
        <v>0</v>
      </c>
      <c r="I12" s="86">
        <f>'S lining weights'!I12</f>
        <v>1</v>
      </c>
      <c r="J12" s="86">
        <f>'S lining weights'!J12</f>
        <v>0</v>
      </c>
      <c r="K12" s="86">
        <f>'S lining weights'!K12</f>
        <v>0</v>
      </c>
      <c r="L12" s="86">
        <f>'S lining weights'!L12</f>
        <v>0</v>
      </c>
      <c r="M12" s="86">
        <f>'S lining weights'!M12</f>
        <v>0</v>
      </c>
      <c r="N12" s="86">
        <f>'S lining weights'!N12</f>
        <v>0</v>
      </c>
      <c r="O12" s="86">
        <f>'S lining weights'!O12</f>
        <v>0</v>
      </c>
      <c r="P12" s="86">
        <f>'S lining weights'!P12</f>
        <v>0</v>
      </c>
      <c r="Q12" s="86">
        <f>'S lining weights'!Q12</f>
        <v>0</v>
      </c>
      <c r="R12" s="86">
        <f>'S lining weights'!R12</f>
        <v>0</v>
      </c>
      <c r="S12" s="86">
        <f>'S lining weights'!S12</f>
        <v>0</v>
      </c>
      <c r="T12" s="86">
        <f>'S lining weights'!T12</f>
        <v>0</v>
      </c>
      <c r="U12" s="86">
        <f>'S lining weights'!U12</f>
        <v>0</v>
      </c>
      <c r="V12" s="86">
        <f>'S lining weights'!V12</f>
        <v>0</v>
      </c>
      <c r="W12" s="87">
        <f>'S lining weights'!W12</f>
        <v>0</v>
      </c>
      <c r="X12" s="88">
        <f t="shared" si="3"/>
        <v>48.620999999999995</v>
      </c>
      <c r="Y12" s="89">
        <f t="shared" si="1"/>
        <v>0</v>
      </c>
      <c r="Z12" s="68"/>
      <c r="AA12" s="90"/>
      <c r="AB12" s="68"/>
    </row>
    <row r="13" spans="2:28" x14ac:dyDescent="0.25">
      <c r="B13" s="91"/>
      <c r="C13" s="92">
        <v>7</v>
      </c>
      <c r="D13" s="93">
        <f t="shared" si="0"/>
        <v>0</v>
      </c>
      <c r="E13" s="93">
        <f t="shared" si="0"/>
        <v>0</v>
      </c>
      <c r="F13" s="94">
        <f>'S lining weights'!F13</f>
        <v>0</v>
      </c>
      <c r="G13" s="95">
        <v>0</v>
      </c>
      <c r="H13" s="85">
        <f t="shared" si="2"/>
        <v>0</v>
      </c>
      <c r="I13" s="86">
        <f>'S lining weights'!I13</f>
        <v>0.5</v>
      </c>
      <c r="J13" s="86">
        <f>'S lining weights'!J13</f>
        <v>0</v>
      </c>
      <c r="K13" s="86">
        <f>'S lining weights'!K13</f>
        <v>0</v>
      </c>
      <c r="L13" s="86">
        <f>'S lining weights'!L13</f>
        <v>0</v>
      </c>
      <c r="M13" s="86">
        <f>'S lining weights'!M13</f>
        <v>0</v>
      </c>
      <c r="N13" s="86">
        <f>'S lining weights'!N13</f>
        <v>0</v>
      </c>
      <c r="O13" s="86">
        <f>'S lining weights'!O13</f>
        <v>0</v>
      </c>
      <c r="P13" s="86">
        <f>'S lining weights'!P13</f>
        <v>0</v>
      </c>
      <c r="Q13" s="86">
        <f>'S lining weights'!Q13</f>
        <v>0</v>
      </c>
      <c r="R13" s="86">
        <f>'S lining weights'!R13</f>
        <v>0</v>
      </c>
      <c r="S13" s="86">
        <f>'S lining weights'!S13</f>
        <v>0</v>
      </c>
      <c r="T13" s="86">
        <f>'S lining weights'!T13</f>
        <v>0</v>
      </c>
      <c r="U13" s="86">
        <f>'S lining weights'!U13</f>
        <v>0</v>
      </c>
      <c r="V13" s="86">
        <f>'S lining weights'!V13</f>
        <v>0</v>
      </c>
      <c r="W13" s="87">
        <f>'S lining weights'!W13</f>
        <v>0.5</v>
      </c>
      <c r="X13" s="88">
        <f t="shared" si="3"/>
        <v>42.886499999999998</v>
      </c>
      <c r="Y13" s="89">
        <f t="shared" si="1"/>
        <v>0</v>
      </c>
      <c r="Z13" s="68"/>
      <c r="AA13" s="90"/>
      <c r="AB13" s="68"/>
    </row>
    <row r="14" spans="2:28" x14ac:dyDescent="0.25">
      <c r="B14" s="91"/>
      <c r="C14" s="92">
        <v>8</v>
      </c>
      <c r="D14" s="93">
        <f t="shared" si="0"/>
        <v>0</v>
      </c>
      <c r="E14" s="93">
        <f t="shared" si="0"/>
        <v>0</v>
      </c>
      <c r="F14" s="94">
        <f>'S lining weights'!F14</f>
        <v>0</v>
      </c>
      <c r="G14" s="95">
        <v>0</v>
      </c>
      <c r="H14" s="85">
        <f t="shared" si="2"/>
        <v>0</v>
      </c>
      <c r="I14" s="86">
        <f>'S lining weights'!I14</f>
        <v>1</v>
      </c>
      <c r="J14" s="86">
        <f>'S lining weights'!J14</f>
        <v>0</v>
      </c>
      <c r="K14" s="86">
        <f>'S lining weights'!K14</f>
        <v>0</v>
      </c>
      <c r="L14" s="86">
        <f>'S lining weights'!L14</f>
        <v>0</v>
      </c>
      <c r="M14" s="86">
        <f>'S lining weights'!M14</f>
        <v>0</v>
      </c>
      <c r="N14" s="86">
        <f>'S lining weights'!N14</f>
        <v>0</v>
      </c>
      <c r="O14" s="86">
        <f>'S lining weights'!O14</f>
        <v>0</v>
      </c>
      <c r="P14" s="86">
        <f>'S lining weights'!P14</f>
        <v>0</v>
      </c>
      <c r="Q14" s="86">
        <f>'S lining weights'!Q14</f>
        <v>0</v>
      </c>
      <c r="R14" s="86">
        <f>'S lining weights'!R14</f>
        <v>0</v>
      </c>
      <c r="S14" s="86">
        <f>'S lining weights'!S14</f>
        <v>0</v>
      </c>
      <c r="T14" s="86">
        <f>'S lining weights'!T14</f>
        <v>0</v>
      </c>
      <c r="U14" s="86">
        <f>'S lining weights'!U14</f>
        <v>0</v>
      </c>
      <c r="V14" s="86">
        <f>'S lining weights'!V14</f>
        <v>0</v>
      </c>
      <c r="W14" s="87">
        <f>'S lining weights'!W14</f>
        <v>0</v>
      </c>
      <c r="X14" s="88">
        <f t="shared" si="3"/>
        <v>48.620999999999995</v>
      </c>
      <c r="Y14" s="89">
        <f t="shared" si="1"/>
        <v>0</v>
      </c>
      <c r="Z14" s="68"/>
      <c r="AA14" s="90"/>
      <c r="AB14" s="68"/>
    </row>
    <row r="15" spans="2:28" x14ac:dyDescent="0.25">
      <c r="B15" s="91"/>
      <c r="C15" s="92">
        <v>9</v>
      </c>
      <c r="D15" s="93">
        <f t="shared" si="0"/>
        <v>0</v>
      </c>
      <c r="E15" s="93">
        <f t="shared" si="0"/>
        <v>0</v>
      </c>
      <c r="F15" s="94">
        <f>'S lining weights'!F15</f>
        <v>0</v>
      </c>
      <c r="G15" s="95">
        <v>0</v>
      </c>
      <c r="H15" s="85">
        <f t="shared" si="2"/>
        <v>0</v>
      </c>
      <c r="I15" s="86">
        <f>'S lining weights'!I15</f>
        <v>0</v>
      </c>
      <c r="J15" s="86">
        <f>'S lining weights'!J15</f>
        <v>0</v>
      </c>
      <c r="K15" s="86">
        <f>'S lining weights'!K15</f>
        <v>0</v>
      </c>
      <c r="L15" s="86">
        <f>'S lining weights'!L15</f>
        <v>0</v>
      </c>
      <c r="M15" s="86">
        <f>'S lining weights'!M15</f>
        <v>0</v>
      </c>
      <c r="N15" s="86">
        <f>'S lining weights'!N15</f>
        <v>0</v>
      </c>
      <c r="O15" s="86">
        <f>'S lining weights'!O15</f>
        <v>0</v>
      </c>
      <c r="P15" s="86">
        <f>'S lining weights'!P15</f>
        <v>0</v>
      </c>
      <c r="Q15" s="86">
        <f>'S lining weights'!Q15</f>
        <v>0</v>
      </c>
      <c r="R15" s="86">
        <f>'S lining weights'!R15</f>
        <v>0</v>
      </c>
      <c r="S15" s="86">
        <f>'S lining weights'!S15</f>
        <v>0</v>
      </c>
      <c r="T15" s="86">
        <f>'S lining weights'!T15</f>
        <v>0</v>
      </c>
      <c r="U15" s="86">
        <f>'S lining weights'!U15</f>
        <v>1</v>
      </c>
      <c r="V15" s="86">
        <f>'S lining weights'!V15</f>
        <v>0</v>
      </c>
      <c r="W15" s="87">
        <f>'S lining weights'!W15</f>
        <v>0</v>
      </c>
      <c r="X15" s="88">
        <f t="shared" si="3"/>
        <v>44.870999999999995</v>
      </c>
      <c r="Y15" s="89">
        <f t="shared" si="1"/>
        <v>0</v>
      </c>
      <c r="Z15" s="68"/>
      <c r="AA15" s="90"/>
      <c r="AB15" s="68"/>
    </row>
    <row r="16" spans="2:28" x14ac:dyDescent="0.25">
      <c r="B16" s="91"/>
      <c r="C16" s="92">
        <v>10</v>
      </c>
      <c r="D16" s="93">
        <f t="shared" si="0"/>
        <v>0</v>
      </c>
      <c r="E16" s="93">
        <f t="shared" si="0"/>
        <v>0</v>
      </c>
      <c r="F16" s="94">
        <f>'S lining weights'!F16</f>
        <v>0</v>
      </c>
      <c r="G16" s="95">
        <v>0</v>
      </c>
      <c r="H16" s="85">
        <f t="shared" si="2"/>
        <v>0</v>
      </c>
      <c r="I16" s="86">
        <f>'S lining weights'!I16</f>
        <v>0.5</v>
      </c>
      <c r="J16" s="86">
        <f>'S lining weights'!J16</f>
        <v>0</v>
      </c>
      <c r="K16" s="86">
        <f>'S lining weights'!K16</f>
        <v>0</v>
      </c>
      <c r="L16" s="86">
        <f>'S lining weights'!L16</f>
        <v>0</v>
      </c>
      <c r="M16" s="86">
        <f>'S lining weights'!M16</f>
        <v>0</v>
      </c>
      <c r="N16" s="86">
        <f>'S lining weights'!N16</f>
        <v>0</v>
      </c>
      <c r="O16" s="86">
        <f>'S lining weights'!O16</f>
        <v>0</v>
      </c>
      <c r="P16" s="86">
        <f>'S lining weights'!P16</f>
        <v>0</v>
      </c>
      <c r="Q16" s="86">
        <f>'S lining weights'!Q16</f>
        <v>0.5</v>
      </c>
      <c r="R16" s="86">
        <f>'S lining weights'!R16</f>
        <v>0</v>
      </c>
      <c r="S16" s="86">
        <f>'S lining weights'!S16</f>
        <v>0</v>
      </c>
      <c r="T16" s="86">
        <f>'S lining weights'!T16</f>
        <v>0</v>
      </c>
      <c r="U16" s="86">
        <f>'S lining weights'!U16</f>
        <v>0</v>
      </c>
      <c r="V16" s="86">
        <f>'S lining weights'!V16</f>
        <v>0</v>
      </c>
      <c r="W16" s="87">
        <f>'S lining weights'!W16</f>
        <v>0</v>
      </c>
      <c r="X16" s="88">
        <f t="shared" si="3"/>
        <v>53.722574999999999</v>
      </c>
      <c r="Y16" s="89">
        <f t="shared" si="1"/>
        <v>0</v>
      </c>
      <c r="Z16" s="68"/>
      <c r="AA16" s="90"/>
      <c r="AB16" s="68"/>
    </row>
    <row r="17" spans="2:28" x14ac:dyDescent="0.25">
      <c r="B17" s="91"/>
      <c r="C17" s="92">
        <v>11</v>
      </c>
      <c r="D17" s="93">
        <f t="shared" si="0"/>
        <v>0</v>
      </c>
      <c r="E17" s="93">
        <f t="shared" si="0"/>
        <v>0</v>
      </c>
      <c r="F17" s="94">
        <f>'S lining weights'!F17</f>
        <v>0</v>
      </c>
      <c r="G17" s="95">
        <v>0</v>
      </c>
      <c r="H17" s="85">
        <f t="shared" si="2"/>
        <v>0</v>
      </c>
      <c r="I17" s="86">
        <f>'S lining weights'!I17</f>
        <v>0</v>
      </c>
      <c r="J17" s="86">
        <f>'S lining weights'!J17</f>
        <v>0.75</v>
      </c>
      <c r="K17" s="86">
        <f>'S lining weights'!K17</f>
        <v>0</v>
      </c>
      <c r="L17" s="86">
        <f>'S lining weights'!L17</f>
        <v>0.25</v>
      </c>
      <c r="M17" s="86">
        <f>'S lining weights'!M17</f>
        <v>0</v>
      </c>
      <c r="N17" s="86">
        <f>'S lining weights'!N17</f>
        <v>0</v>
      </c>
      <c r="O17" s="86">
        <f>'S lining weights'!O17</f>
        <v>0</v>
      </c>
      <c r="P17" s="86">
        <f>'S lining weights'!P17</f>
        <v>0</v>
      </c>
      <c r="Q17" s="86">
        <f>'S lining weights'!Q17</f>
        <v>0</v>
      </c>
      <c r="R17" s="86">
        <f>'S lining weights'!R17</f>
        <v>0</v>
      </c>
      <c r="S17" s="86">
        <f>'S lining weights'!S17</f>
        <v>0</v>
      </c>
      <c r="T17" s="86">
        <f>'S lining weights'!T17</f>
        <v>0</v>
      </c>
      <c r="U17" s="86">
        <f>'S lining weights'!U17</f>
        <v>0</v>
      </c>
      <c r="V17" s="86">
        <f>'S lining weights'!V17</f>
        <v>0</v>
      </c>
      <c r="W17" s="87">
        <f>'S lining weights'!W17</f>
        <v>0</v>
      </c>
      <c r="X17" s="88">
        <f t="shared" si="3"/>
        <v>51.36</v>
      </c>
      <c r="Y17" s="89">
        <f t="shared" si="1"/>
        <v>0</v>
      </c>
      <c r="Z17" s="68"/>
      <c r="AA17" s="90"/>
      <c r="AB17" s="68"/>
    </row>
    <row r="18" spans="2:28" x14ac:dyDescent="0.25">
      <c r="B18" s="91"/>
      <c r="C18" s="92">
        <v>12</v>
      </c>
      <c r="D18" s="93">
        <f t="shared" si="0"/>
        <v>0</v>
      </c>
      <c r="E18" s="93">
        <f t="shared" si="0"/>
        <v>0</v>
      </c>
      <c r="F18" s="94">
        <f>'S lining weights'!F18</f>
        <v>0</v>
      </c>
      <c r="G18" s="95">
        <v>0</v>
      </c>
      <c r="H18" s="85">
        <f t="shared" si="2"/>
        <v>0</v>
      </c>
      <c r="I18" s="86">
        <f>'S lining weights'!I18</f>
        <v>0</v>
      </c>
      <c r="J18" s="86">
        <f>'S lining weights'!J18</f>
        <v>0</v>
      </c>
      <c r="K18" s="86">
        <f>'S lining weights'!K18</f>
        <v>0</v>
      </c>
      <c r="L18" s="86">
        <f>'S lining weights'!L18</f>
        <v>0</v>
      </c>
      <c r="M18" s="86">
        <f>'S lining weights'!M18</f>
        <v>0</v>
      </c>
      <c r="N18" s="86">
        <f>'S lining weights'!N18</f>
        <v>1</v>
      </c>
      <c r="O18" s="86">
        <f>'S lining weights'!O18</f>
        <v>0</v>
      </c>
      <c r="P18" s="86">
        <f>'S lining weights'!P18</f>
        <v>0</v>
      </c>
      <c r="Q18" s="86">
        <f>'S lining weights'!Q18</f>
        <v>0</v>
      </c>
      <c r="R18" s="86">
        <f>'S lining weights'!R18</f>
        <v>0</v>
      </c>
      <c r="S18" s="86">
        <f>'S lining weights'!S18</f>
        <v>0</v>
      </c>
      <c r="T18" s="86">
        <f>'S lining weights'!T18</f>
        <v>0</v>
      </c>
      <c r="U18" s="86">
        <f>'S lining weights'!U18</f>
        <v>0</v>
      </c>
      <c r="V18" s="86">
        <f>'S lining weights'!V18</f>
        <v>0</v>
      </c>
      <c r="W18" s="87">
        <f>'S lining weights'!W18</f>
        <v>0</v>
      </c>
      <c r="X18" s="88">
        <f t="shared" si="3"/>
        <v>45.515999999999998</v>
      </c>
      <c r="Y18" s="89">
        <f t="shared" si="1"/>
        <v>0</v>
      </c>
      <c r="Z18" s="68"/>
      <c r="AA18" s="90"/>
      <c r="AB18" s="68"/>
    </row>
    <row r="19" spans="2:28" x14ac:dyDescent="0.25">
      <c r="B19" s="91"/>
      <c r="C19" s="92">
        <v>13</v>
      </c>
      <c r="D19" s="93">
        <f t="shared" si="0"/>
        <v>0</v>
      </c>
      <c r="E19" s="93">
        <f t="shared" si="0"/>
        <v>0</v>
      </c>
      <c r="F19" s="94">
        <f>'S lining weights'!F19</f>
        <v>0</v>
      </c>
      <c r="G19" s="95">
        <v>0</v>
      </c>
      <c r="H19" s="85">
        <f t="shared" si="2"/>
        <v>0</v>
      </c>
      <c r="I19" s="86">
        <f>'S lining weights'!I19</f>
        <v>0</v>
      </c>
      <c r="J19" s="86">
        <f>'S lining weights'!J19</f>
        <v>0</v>
      </c>
      <c r="K19" s="86">
        <f>'S lining weights'!K19</f>
        <v>1</v>
      </c>
      <c r="L19" s="86">
        <f>'S lining weights'!L19</f>
        <v>0</v>
      </c>
      <c r="M19" s="86">
        <f>'S lining weights'!M19</f>
        <v>0</v>
      </c>
      <c r="N19" s="86">
        <f>'S lining weights'!N19</f>
        <v>0</v>
      </c>
      <c r="O19" s="86">
        <f>'S lining weights'!O19</f>
        <v>0</v>
      </c>
      <c r="P19" s="86">
        <f>'S lining weights'!P19</f>
        <v>0</v>
      </c>
      <c r="Q19" s="86">
        <f>'S lining weights'!Q19</f>
        <v>0</v>
      </c>
      <c r="R19" s="86">
        <f>'S lining weights'!R19</f>
        <v>0</v>
      </c>
      <c r="S19" s="86">
        <f>'S lining weights'!S19</f>
        <v>0</v>
      </c>
      <c r="T19" s="86">
        <f>'S lining weights'!T19</f>
        <v>0</v>
      </c>
      <c r="U19" s="86">
        <f>'S lining weights'!U19</f>
        <v>0</v>
      </c>
      <c r="V19" s="86">
        <f>'S lining weights'!V19</f>
        <v>0</v>
      </c>
      <c r="W19" s="87">
        <f>'S lining weights'!W19</f>
        <v>0</v>
      </c>
      <c r="X19" s="88">
        <f t="shared" si="3"/>
        <v>54.163724999999992</v>
      </c>
      <c r="Y19" s="89">
        <f t="shared" si="1"/>
        <v>0</v>
      </c>
      <c r="Z19" s="68"/>
      <c r="AA19" s="90"/>
      <c r="AB19" s="68"/>
    </row>
    <row r="20" spans="2:28" x14ac:dyDescent="0.25">
      <c r="B20" s="91"/>
      <c r="C20" s="92">
        <v>14</v>
      </c>
      <c r="D20" s="93">
        <f t="shared" si="0"/>
        <v>0</v>
      </c>
      <c r="E20" s="93">
        <f t="shared" si="0"/>
        <v>0</v>
      </c>
      <c r="F20" s="94">
        <f>'S lining weights'!F20</f>
        <v>0</v>
      </c>
      <c r="G20" s="95">
        <v>0</v>
      </c>
      <c r="H20" s="85">
        <f t="shared" si="2"/>
        <v>0</v>
      </c>
      <c r="I20" s="86">
        <f>'S lining weights'!I20</f>
        <v>0</v>
      </c>
      <c r="J20" s="86">
        <f>'S lining weights'!J20</f>
        <v>0.8</v>
      </c>
      <c r="K20" s="86">
        <f>'S lining weights'!K20</f>
        <v>0</v>
      </c>
      <c r="L20" s="86">
        <f>'S lining weights'!L20</f>
        <v>0</v>
      </c>
      <c r="M20" s="86">
        <f>'S lining weights'!M20</f>
        <v>0</v>
      </c>
      <c r="N20" s="86">
        <f>'S lining weights'!N20</f>
        <v>0.2</v>
      </c>
      <c r="O20" s="86">
        <f>'S lining weights'!O20</f>
        <v>0</v>
      </c>
      <c r="P20" s="86">
        <f>'S lining weights'!P20</f>
        <v>0</v>
      </c>
      <c r="Q20" s="86">
        <f>'S lining weights'!Q20</f>
        <v>0</v>
      </c>
      <c r="R20" s="86">
        <f>'S lining weights'!R20</f>
        <v>0</v>
      </c>
      <c r="S20" s="86">
        <f>'S lining weights'!S20</f>
        <v>0</v>
      </c>
      <c r="T20" s="86">
        <f>'S lining weights'!T20</f>
        <v>0</v>
      </c>
      <c r="U20" s="86">
        <f>'S lining weights'!U20</f>
        <v>0</v>
      </c>
      <c r="V20" s="86">
        <f>'S lining weights'!V20</f>
        <v>0</v>
      </c>
      <c r="W20" s="87">
        <f>'S lining weights'!W20</f>
        <v>0</v>
      </c>
      <c r="X20" s="88">
        <f t="shared" si="3"/>
        <v>48</v>
      </c>
      <c r="Y20" s="89">
        <f t="shared" si="1"/>
        <v>0</v>
      </c>
      <c r="Z20" s="68"/>
      <c r="AA20" s="90"/>
      <c r="AB20" s="68"/>
    </row>
    <row r="21" spans="2:28" x14ac:dyDescent="0.25">
      <c r="B21" s="91"/>
      <c r="C21" s="92">
        <v>15</v>
      </c>
      <c r="D21" s="93">
        <f t="shared" si="0"/>
        <v>0</v>
      </c>
      <c r="E21" s="93">
        <f t="shared" si="0"/>
        <v>0</v>
      </c>
      <c r="F21" s="94">
        <f>'S lining weights'!F21</f>
        <v>0</v>
      </c>
      <c r="G21" s="95">
        <v>0</v>
      </c>
      <c r="H21" s="85">
        <f t="shared" si="2"/>
        <v>0</v>
      </c>
      <c r="I21" s="86">
        <f>'S lining weights'!I21</f>
        <v>0</v>
      </c>
      <c r="J21" s="86">
        <f>'S lining weights'!J21</f>
        <v>0</v>
      </c>
      <c r="K21" s="86">
        <f>'S lining weights'!K21</f>
        <v>0</v>
      </c>
      <c r="L21" s="86">
        <f>'S lining weights'!L21</f>
        <v>0.1</v>
      </c>
      <c r="M21" s="86">
        <f>'S lining weights'!M21</f>
        <v>0</v>
      </c>
      <c r="N21" s="86">
        <f>'S lining weights'!N21</f>
        <v>0.1</v>
      </c>
      <c r="O21" s="86">
        <f>'S lining weights'!O21</f>
        <v>0</v>
      </c>
      <c r="P21" s="86">
        <f>'S lining weights'!P21</f>
        <v>0</v>
      </c>
      <c r="Q21" s="86">
        <f>'S lining weights'!Q21</f>
        <v>0.31</v>
      </c>
      <c r="R21" s="86">
        <f>'S lining weights'!R21</f>
        <v>0.31</v>
      </c>
      <c r="S21" s="86">
        <f>'S lining weights'!S21</f>
        <v>0</v>
      </c>
      <c r="T21" s="86">
        <f>'S lining weights'!T21</f>
        <v>0.18</v>
      </c>
      <c r="U21" s="86">
        <f>'S lining weights'!U21</f>
        <v>0</v>
      </c>
      <c r="V21" s="86">
        <f>'S lining weights'!V21</f>
        <v>0</v>
      </c>
      <c r="W21" s="87">
        <f>'S lining weights'!W21</f>
        <v>0</v>
      </c>
      <c r="X21" s="88">
        <f t="shared" si="3"/>
        <v>59.786620124999999</v>
      </c>
      <c r="Y21" s="89">
        <f t="shared" si="1"/>
        <v>0</v>
      </c>
      <c r="Z21" s="68"/>
      <c r="AA21" s="90"/>
      <c r="AB21" s="68"/>
    </row>
    <row r="22" spans="2:28" ht="15.75" thickBot="1" x14ac:dyDescent="0.3">
      <c r="B22" s="96"/>
      <c r="C22" s="97">
        <v>16</v>
      </c>
      <c r="D22" s="98">
        <f t="shared" si="0"/>
        <v>0</v>
      </c>
      <c r="E22" s="98">
        <f t="shared" si="0"/>
        <v>0</v>
      </c>
      <c r="F22" s="99">
        <f>'S lining weights'!F22</f>
        <v>0</v>
      </c>
      <c r="G22" s="100">
        <v>0</v>
      </c>
      <c r="H22" s="101">
        <f t="shared" si="2"/>
        <v>0</v>
      </c>
      <c r="I22" s="102">
        <f>'S lining weights'!I22</f>
        <v>0</v>
      </c>
      <c r="J22" s="102">
        <f>'S lining weights'!J22</f>
        <v>0</v>
      </c>
      <c r="K22" s="102">
        <f>'S lining weights'!K22</f>
        <v>1</v>
      </c>
      <c r="L22" s="102">
        <f>'S lining weights'!L22</f>
        <v>0</v>
      </c>
      <c r="M22" s="102">
        <f>'S lining weights'!M22</f>
        <v>0</v>
      </c>
      <c r="N22" s="102">
        <f>'S lining weights'!N22</f>
        <v>0</v>
      </c>
      <c r="O22" s="102">
        <f>'S lining weights'!O22</f>
        <v>0</v>
      </c>
      <c r="P22" s="102">
        <f>'S lining weights'!P22</f>
        <v>0</v>
      </c>
      <c r="Q22" s="102">
        <f>'S lining weights'!Q22</f>
        <v>0</v>
      </c>
      <c r="R22" s="102">
        <f>'S lining weights'!R22</f>
        <v>0</v>
      </c>
      <c r="S22" s="102">
        <f>'S lining weights'!S22</f>
        <v>0</v>
      </c>
      <c r="T22" s="102">
        <f>'S lining weights'!T22</f>
        <v>0</v>
      </c>
      <c r="U22" s="102">
        <f>'S lining weights'!U22</f>
        <v>0</v>
      </c>
      <c r="V22" s="102">
        <f>'S lining weights'!V22</f>
        <v>0</v>
      </c>
      <c r="W22" s="103">
        <f>'S lining weights'!W22</f>
        <v>0</v>
      </c>
      <c r="X22" s="104">
        <f t="shared" si="3"/>
        <v>54.163724999999992</v>
      </c>
      <c r="Y22" s="105">
        <f t="shared" si="1"/>
        <v>0</v>
      </c>
      <c r="Z22" s="68"/>
      <c r="AA22" s="80"/>
      <c r="AB22" s="68"/>
    </row>
    <row r="23" spans="2:28" ht="15.75" thickBot="1" x14ac:dyDescent="0.3">
      <c r="E23" s="106" t="s">
        <v>129</v>
      </c>
      <c r="F23" s="107">
        <f>SUM(F8:F22)</f>
        <v>0.52</v>
      </c>
      <c r="G23" s="107">
        <f>SUM(G8:G22)</f>
        <v>0</v>
      </c>
      <c r="H23" s="108" t="s">
        <v>130</v>
      </c>
      <c r="I23" s="109">
        <f t="shared" ref="I23:W23" si="4">I24*I6</f>
        <v>0</v>
      </c>
      <c r="J23" s="109">
        <f t="shared" si="4"/>
        <v>0</v>
      </c>
      <c r="K23" s="109">
        <f t="shared" si="4"/>
        <v>0</v>
      </c>
      <c r="L23" s="109">
        <f t="shared" si="4"/>
        <v>0</v>
      </c>
      <c r="M23" s="109">
        <f t="shared" si="4"/>
        <v>0</v>
      </c>
      <c r="N23" s="109">
        <f t="shared" si="4"/>
        <v>0</v>
      </c>
      <c r="O23" s="109">
        <f t="shared" si="4"/>
        <v>0</v>
      </c>
      <c r="P23" s="109">
        <f t="shared" si="4"/>
        <v>0</v>
      </c>
      <c r="Q23" s="109">
        <f t="shared" si="4"/>
        <v>0</v>
      </c>
      <c r="R23" s="109">
        <f t="shared" si="4"/>
        <v>0</v>
      </c>
      <c r="S23" s="109">
        <f t="shared" si="4"/>
        <v>0</v>
      </c>
      <c r="T23" s="109">
        <f t="shared" si="4"/>
        <v>0</v>
      </c>
      <c r="U23" s="109">
        <f t="shared" si="4"/>
        <v>0</v>
      </c>
      <c r="V23" s="110">
        <f t="shared" si="4"/>
        <v>0</v>
      </c>
      <c r="W23" s="111">
        <f t="shared" si="4"/>
        <v>0</v>
      </c>
      <c r="X23" s="112"/>
      <c r="Y23" s="113"/>
      <c r="Z23" s="68"/>
      <c r="AA23" s="68"/>
      <c r="AB23" s="68"/>
    </row>
    <row r="24" spans="2:28" ht="15.75" thickBot="1" x14ac:dyDescent="0.3">
      <c r="F24" s="114"/>
      <c r="G24" s="114"/>
      <c r="H24" s="108" t="s">
        <v>131</v>
      </c>
      <c r="I24" s="115">
        <f>I8*$Y$8+I9*$Y$9+I10*$Y$10+I11*$Y$11+I12*$Y$12+I13*$Y$13+I14*$Y$14+I15*$Y$15+I16*$Y$16+I17*$Y$17+I18*$Y$18+I19*$Y$19+I20*$Y$20+I21*$Y$21+I22*$Y$22</f>
        <v>0</v>
      </c>
      <c r="J24" s="115">
        <f t="shared" ref="J24:W24" si="5">J8*$Y$8+J9*$Y$9+J10*$Y$10+J11*$Y$11+J12*$Y$12+J13*$Y$13+J14*$Y$14+J15*$Y$15+J16*$Y$16+J17*$Y$17+J18*$Y$18+J19*$Y$19+J20*$Y$20+J21*$Y$21+J22*$Y$22</f>
        <v>0</v>
      </c>
      <c r="K24" s="115">
        <f t="shared" si="5"/>
        <v>0</v>
      </c>
      <c r="L24" s="115">
        <f t="shared" si="5"/>
        <v>0</v>
      </c>
      <c r="M24" s="115">
        <f t="shared" si="5"/>
        <v>0</v>
      </c>
      <c r="N24" s="115">
        <f t="shared" si="5"/>
        <v>0</v>
      </c>
      <c r="O24" s="115">
        <f t="shared" si="5"/>
        <v>0</v>
      </c>
      <c r="P24" s="115">
        <f t="shared" si="5"/>
        <v>0</v>
      </c>
      <c r="Q24" s="115">
        <f t="shared" si="5"/>
        <v>0</v>
      </c>
      <c r="R24" s="115">
        <f t="shared" si="5"/>
        <v>0</v>
      </c>
      <c r="S24" s="115">
        <f t="shared" si="5"/>
        <v>0</v>
      </c>
      <c r="T24" s="115">
        <f t="shared" si="5"/>
        <v>0</v>
      </c>
      <c r="U24" s="115">
        <f t="shared" si="5"/>
        <v>0</v>
      </c>
      <c r="V24" s="116">
        <f t="shared" si="5"/>
        <v>0</v>
      </c>
      <c r="W24" s="117">
        <f t="shared" si="5"/>
        <v>0</v>
      </c>
      <c r="X24" s="118"/>
      <c r="Y24" s="119">
        <f>SUM(Y8:Y22)</f>
        <v>0</v>
      </c>
      <c r="Z24" s="68"/>
      <c r="AA24" s="68"/>
      <c r="AB24" s="68"/>
    </row>
    <row r="25" spans="2:28" x14ac:dyDescent="0.25">
      <c r="B25" s="68"/>
      <c r="C25" s="68"/>
      <c r="D25" s="68"/>
      <c r="E25" s="68"/>
      <c r="F25" s="120"/>
      <c r="G25" s="120"/>
      <c r="I25" s="121"/>
      <c r="J25" s="121"/>
      <c r="K25" s="121"/>
      <c r="L25" s="121"/>
      <c r="M25" s="121"/>
      <c r="N25" s="121"/>
      <c r="O25" s="121"/>
      <c r="P25" s="121"/>
      <c r="Q25" s="121"/>
      <c r="R25" s="121"/>
      <c r="S25" s="121"/>
      <c r="T25" s="121"/>
      <c r="U25" s="121"/>
      <c r="V25" s="121"/>
      <c r="W25" s="121"/>
      <c r="X25" s="68"/>
      <c r="Y25" s="68"/>
      <c r="Z25" s="68"/>
      <c r="AA25" s="68"/>
      <c r="AB25" s="68"/>
    </row>
    <row r="26" spans="2:28" x14ac:dyDescent="0.25">
      <c r="B26" s="122"/>
      <c r="C26" s="68"/>
      <c r="D26" s="68"/>
      <c r="E26" s="68"/>
      <c r="F26" s="68"/>
      <c r="G26" s="68"/>
      <c r="H26" s="68"/>
      <c r="I26" s="90"/>
      <c r="J26" s="90"/>
      <c r="K26" s="90"/>
      <c r="L26" s="90"/>
      <c r="M26" s="90"/>
      <c r="N26" s="90"/>
      <c r="O26" s="90"/>
      <c r="P26" s="90"/>
      <c r="Q26" s="90"/>
      <c r="R26" s="90"/>
      <c r="S26" s="90"/>
      <c r="T26" s="90"/>
      <c r="U26" s="90"/>
      <c r="V26" s="90"/>
      <c r="W26" s="90"/>
      <c r="X26" s="68"/>
      <c r="Y26" s="68"/>
      <c r="Z26" s="68"/>
      <c r="AA26" s="68"/>
      <c r="AB26" s="68"/>
    </row>
    <row r="27" spans="2:28" x14ac:dyDescent="0.25">
      <c r="B27" s="122"/>
      <c r="C27" s="122"/>
      <c r="D27" s="122"/>
      <c r="E27" s="122">
        <v>1</v>
      </c>
      <c r="F27" s="123"/>
      <c r="G27" s="122"/>
      <c r="H27" s="122"/>
      <c r="I27" s="124" t="str">
        <f>I5</f>
        <v>Carpenters</v>
      </c>
      <c r="J27" s="125">
        <f>I24</f>
        <v>0</v>
      </c>
      <c r="K27" s="122"/>
      <c r="L27" s="122"/>
      <c r="M27" s="122"/>
      <c r="N27" s="122"/>
      <c r="O27" s="122"/>
      <c r="P27" s="122"/>
      <c r="Q27" s="122"/>
      <c r="R27" s="122"/>
      <c r="S27" s="122"/>
      <c r="T27" s="122"/>
      <c r="U27" s="122"/>
      <c r="V27" s="122"/>
      <c r="W27" s="68"/>
      <c r="X27" s="68"/>
      <c r="Y27" s="68"/>
      <c r="Z27" s="68"/>
      <c r="AA27" s="68"/>
    </row>
    <row r="28" spans="2:28" ht="15.75" x14ac:dyDescent="0.25">
      <c r="B28" s="122"/>
      <c r="C28" s="122"/>
      <c r="D28" s="122"/>
      <c r="E28" s="122">
        <v>2</v>
      </c>
      <c r="F28" s="123"/>
      <c r="G28" s="122"/>
      <c r="H28" s="122"/>
      <c r="I28" s="124" t="str">
        <f>K5</f>
        <v>Electricians</v>
      </c>
      <c r="J28" s="125">
        <f>K24</f>
        <v>0</v>
      </c>
      <c r="K28" s="126"/>
      <c r="L28" s="126"/>
      <c r="M28" s="126"/>
      <c r="N28" s="126"/>
      <c r="O28" s="126"/>
      <c r="P28" s="126"/>
      <c r="Q28" s="126"/>
      <c r="R28" s="126"/>
      <c r="S28" s="126"/>
      <c r="T28" s="126"/>
      <c r="U28" s="126"/>
      <c r="V28" s="126"/>
      <c r="W28" s="68"/>
      <c r="Y28" s="68"/>
    </row>
    <row r="29" spans="2:28" ht="15.75" x14ac:dyDescent="0.25">
      <c r="B29" s="122"/>
      <c r="C29" s="122"/>
      <c r="D29" s="123"/>
      <c r="E29" s="122">
        <v>3</v>
      </c>
      <c r="F29" s="123"/>
      <c r="G29" s="122"/>
      <c r="H29" s="122"/>
      <c r="I29" s="124" t="str">
        <f>L5</f>
        <v>Heavy Equipment Operators</v>
      </c>
      <c r="J29" s="125">
        <f>L24</f>
        <v>0</v>
      </c>
      <c r="K29" s="122"/>
      <c r="L29" s="122"/>
      <c r="M29" s="122"/>
      <c r="N29" s="122"/>
      <c r="O29" s="127"/>
      <c r="P29" s="122"/>
      <c r="Q29" s="122"/>
      <c r="R29" s="122"/>
      <c r="S29" s="122"/>
      <c r="T29" s="122"/>
      <c r="U29" s="122"/>
      <c r="V29" s="122"/>
      <c r="W29" s="68"/>
      <c r="Y29" s="68"/>
    </row>
    <row r="30" spans="2:28" ht="15.75" x14ac:dyDescent="0.25">
      <c r="B30" s="122"/>
      <c r="C30" s="122"/>
      <c r="D30" s="123"/>
      <c r="E30" s="122">
        <v>4</v>
      </c>
      <c r="F30" s="123"/>
      <c r="G30" s="122"/>
      <c r="H30" s="122"/>
      <c r="I30" s="124" t="str">
        <f>M5</f>
        <v>Ironworkers - reinforcing steel</v>
      </c>
      <c r="J30" s="125">
        <f>M24</f>
        <v>0</v>
      </c>
      <c r="K30" s="122"/>
      <c r="L30" s="122"/>
      <c r="M30" s="122"/>
      <c r="N30" s="122"/>
      <c r="O30" s="127"/>
      <c r="P30" s="122"/>
      <c r="Q30" s="122"/>
      <c r="R30" s="122"/>
      <c r="S30" s="122"/>
      <c r="T30" s="122"/>
      <c r="U30" s="122"/>
      <c r="V30" s="122"/>
      <c r="W30" s="68"/>
      <c r="Y30" s="68"/>
    </row>
    <row r="31" spans="2:28" ht="15.75" x14ac:dyDescent="0.25">
      <c r="B31" s="122"/>
      <c r="C31" s="122"/>
      <c r="D31" s="123"/>
      <c r="E31" s="122">
        <v>5</v>
      </c>
      <c r="F31" s="123"/>
      <c r="G31" s="122"/>
      <c r="H31" s="122"/>
      <c r="I31" s="124" t="str">
        <f>N5</f>
        <v>Laborers</v>
      </c>
      <c r="J31" s="125">
        <f>N24</f>
        <v>0</v>
      </c>
      <c r="K31" s="122"/>
      <c r="L31" s="122"/>
      <c r="M31" s="122"/>
      <c r="N31" s="122"/>
      <c r="O31" s="127"/>
      <c r="P31" s="122"/>
      <c r="Q31" s="122"/>
      <c r="R31" s="122"/>
      <c r="S31" s="122"/>
      <c r="T31" s="122"/>
      <c r="U31" s="122"/>
      <c r="V31" s="122"/>
      <c r="W31" s="68"/>
      <c r="Y31" s="68"/>
    </row>
    <row r="32" spans="2:28" ht="15.75" x14ac:dyDescent="0.25">
      <c r="B32" s="122"/>
      <c r="C32" s="122"/>
      <c r="D32" s="123"/>
      <c r="E32" s="122">
        <v>6</v>
      </c>
      <c r="F32" s="123"/>
      <c r="G32" s="122"/>
      <c r="H32" s="122"/>
      <c r="I32" s="124" t="str">
        <f>O5</f>
        <v>Masons</v>
      </c>
      <c r="J32" s="125">
        <f>O24</f>
        <v>0</v>
      </c>
      <c r="K32" s="122"/>
      <c r="L32" s="122"/>
      <c r="M32" s="122"/>
      <c r="N32" s="122"/>
      <c r="O32" s="127"/>
      <c r="P32" s="122"/>
      <c r="Q32" s="122"/>
      <c r="R32" s="122"/>
      <c r="S32" s="122"/>
      <c r="T32" s="122"/>
      <c r="U32" s="122"/>
      <c r="V32" s="122"/>
      <c r="W32" s="68"/>
      <c r="Y32" s="68"/>
    </row>
    <row r="33" spans="2:25" ht="15.75" x14ac:dyDescent="0.25">
      <c r="B33" s="122"/>
      <c r="C33" s="122"/>
      <c r="D33" s="123"/>
      <c r="E33" s="122">
        <v>7</v>
      </c>
      <c r="F33" s="123"/>
      <c r="G33" s="122"/>
      <c r="H33" s="122"/>
      <c r="I33" s="124" t="str">
        <f>J5</f>
        <v>Millwrights</v>
      </c>
      <c r="J33" s="125">
        <f>J24</f>
        <v>0</v>
      </c>
      <c r="K33" s="122"/>
      <c r="L33" s="122"/>
      <c r="M33" s="122"/>
      <c r="N33" s="122"/>
      <c r="O33" s="127"/>
      <c r="P33" s="122"/>
      <c r="Q33" s="122"/>
      <c r="R33" s="122"/>
      <c r="S33" s="122"/>
      <c r="T33" s="122"/>
      <c r="U33" s="122"/>
      <c r="V33" s="122"/>
      <c r="W33" s="68"/>
      <c r="Y33" s="68"/>
    </row>
    <row r="34" spans="2:25" ht="15.75" x14ac:dyDescent="0.25">
      <c r="B34" s="122"/>
      <c r="C34" s="122"/>
      <c r="D34" s="123"/>
      <c r="E34" s="122">
        <v>8</v>
      </c>
      <c r="F34" s="123"/>
      <c r="G34" s="122"/>
      <c r="H34" s="122"/>
      <c r="I34" s="124" t="str">
        <f>U5</f>
        <v>Painter</v>
      </c>
      <c r="J34" s="125">
        <f>U24</f>
        <v>0</v>
      </c>
      <c r="K34" s="122"/>
      <c r="L34" s="128"/>
      <c r="M34" s="122"/>
      <c r="N34" s="122"/>
      <c r="O34" s="127"/>
      <c r="P34" s="122"/>
      <c r="Q34" s="122"/>
      <c r="R34" s="122"/>
      <c r="S34" s="122"/>
      <c r="T34" s="122"/>
      <c r="U34" s="122"/>
      <c r="V34" s="122"/>
      <c r="W34" s="68"/>
      <c r="Y34" s="68"/>
    </row>
    <row r="35" spans="2:25" ht="15.75" x14ac:dyDescent="0.25">
      <c r="B35" s="122"/>
      <c r="C35" s="122"/>
      <c r="D35" s="123"/>
      <c r="E35" s="122">
        <v>9</v>
      </c>
      <c r="F35" s="123"/>
      <c r="G35" s="122"/>
      <c r="H35" s="122"/>
      <c r="I35" s="124" t="str">
        <f>T5</f>
        <v>Pipefitter</v>
      </c>
      <c r="J35" s="125">
        <f>T24</f>
        <v>0</v>
      </c>
      <c r="K35" s="122"/>
      <c r="L35" s="122"/>
      <c r="M35" s="122"/>
      <c r="N35" s="122"/>
      <c r="O35" s="127"/>
      <c r="P35" s="122"/>
      <c r="Q35" s="122"/>
      <c r="R35" s="122"/>
      <c r="S35" s="122"/>
      <c r="T35" s="122"/>
      <c r="U35" s="122"/>
      <c r="V35" s="122"/>
      <c r="W35" s="68"/>
      <c r="Y35" s="68"/>
    </row>
    <row r="36" spans="2:25" ht="15.75" x14ac:dyDescent="0.25">
      <c r="B36" s="122"/>
      <c r="C36" s="122"/>
      <c r="D36" s="123"/>
      <c r="E36" s="122">
        <v>10</v>
      </c>
      <c r="F36" s="123"/>
      <c r="G36" s="122"/>
      <c r="H36" s="122"/>
      <c r="I36" s="124" t="str">
        <f>Q5</f>
        <v>Plumbers</v>
      </c>
      <c r="J36" s="125">
        <f>Q24</f>
        <v>0</v>
      </c>
      <c r="K36" s="122"/>
      <c r="L36" s="122"/>
      <c r="M36" s="122"/>
      <c r="N36" s="122"/>
      <c r="O36" s="127"/>
      <c r="P36" s="122"/>
      <c r="Q36" s="122"/>
      <c r="R36" s="122"/>
      <c r="S36" s="122"/>
      <c r="T36" s="122"/>
      <c r="U36" s="122"/>
      <c r="V36" s="122"/>
      <c r="W36" s="68"/>
      <c r="Y36" s="68"/>
    </row>
    <row r="37" spans="2:25" ht="15.75" x14ac:dyDescent="0.25">
      <c r="B37" s="122"/>
      <c r="C37" s="122"/>
      <c r="D37" s="123"/>
      <c r="E37" s="122">
        <v>11</v>
      </c>
      <c r="F37" s="123"/>
      <c r="G37" s="122"/>
      <c r="H37" s="122"/>
      <c r="I37" s="124" t="str">
        <f>W5</f>
        <v>Roofer</v>
      </c>
      <c r="J37" s="125">
        <f>W24</f>
        <v>0</v>
      </c>
      <c r="K37" s="122"/>
      <c r="L37" s="122"/>
      <c r="M37" s="122"/>
      <c r="N37" s="122"/>
      <c r="O37" s="127"/>
      <c r="P37" s="122"/>
      <c r="Q37" s="122"/>
      <c r="R37" s="122"/>
      <c r="S37" s="122"/>
      <c r="T37" s="122"/>
      <c r="U37" s="122"/>
      <c r="V37" s="122"/>
      <c r="W37" s="68"/>
      <c r="Y37" s="68"/>
    </row>
    <row r="38" spans="2:25" ht="15.75" x14ac:dyDescent="0.25">
      <c r="B38" s="122"/>
      <c r="C38" s="122"/>
      <c r="D38" s="123"/>
      <c r="E38" s="122">
        <v>12</v>
      </c>
      <c r="F38" s="123"/>
      <c r="G38" s="122"/>
      <c r="H38" s="122"/>
      <c r="I38" s="124" t="str">
        <f>R5</f>
        <v>Sheet Metal Workers</v>
      </c>
      <c r="J38" s="125">
        <f>R24</f>
        <v>0</v>
      </c>
      <c r="K38" s="122"/>
      <c r="L38" s="122"/>
      <c r="M38" s="122"/>
      <c r="N38" s="122"/>
      <c r="O38" s="127"/>
      <c r="P38" s="122"/>
      <c r="Q38" s="122"/>
      <c r="R38" s="122"/>
      <c r="S38" s="122"/>
      <c r="T38" s="122"/>
      <c r="U38" s="122"/>
      <c r="V38" s="122"/>
      <c r="W38" s="68"/>
      <c r="Y38" s="68"/>
    </row>
    <row r="39" spans="2:25" ht="15.75" x14ac:dyDescent="0.25">
      <c r="B39" s="122"/>
      <c r="C39" s="122"/>
      <c r="D39" s="123"/>
      <c r="E39" s="122">
        <v>13</v>
      </c>
      <c r="F39" s="123"/>
      <c r="G39" s="122"/>
      <c r="H39" s="122"/>
      <c r="I39" s="124" t="str">
        <f>V5</f>
        <v>Specialty Labor</v>
      </c>
      <c r="J39" s="125">
        <f>V24</f>
        <v>0</v>
      </c>
      <c r="K39" s="122"/>
      <c r="L39" s="122"/>
      <c r="M39" s="122"/>
      <c r="N39" s="122"/>
      <c r="O39" s="127"/>
      <c r="P39" s="122"/>
      <c r="Q39" s="122"/>
      <c r="R39" s="122"/>
      <c r="S39" s="122"/>
      <c r="T39" s="122"/>
      <c r="U39" s="122"/>
      <c r="V39" s="122"/>
      <c r="W39" s="68"/>
    </row>
    <row r="40" spans="2:25" x14ac:dyDescent="0.25">
      <c r="B40" s="122"/>
      <c r="C40" s="122"/>
      <c r="D40" s="123"/>
      <c r="E40" s="123"/>
      <c r="F40" s="129"/>
      <c r="G40" s="129"/>
      <c r="H40" s="122"/>
      <c r="I40" s="122"/>
      <c r="J40" s="122"/>
      <c r="K40" s="122"/>
      <c r="L40" s="122"/>
      <c r="M40" s="122"/>
      <c r="N40" s="122"/>
      <c r="O40" s="122"/>
      <c r="P40" s="122"/>
      <c r="Q40" s="122"/>
      <c r="R40" s="122"/>
      <c r="S40" s="122"/>
      <c r="T40" s="122"/>
      <c r="U40" s="122"/>
      <c r="V40" s="122"/>
      <c r="W40" s="68"/>
    </row>
    <row r="41" spans="2:25" x14ac:dyDescent="0.25">
      <c r="B41" s="122"/>
      <c r="C41" s="122"/>
      <c r="D41" s="123"/>
      <c r="E41" s="123"/>
      <c r="F41" s="129"/>
      <c r="G41" s="129"/>
      <c r="H41" s="122"/>
      <c r="I41" s="122"/>
      <c r="J41" s="122"/>
      <c r="K41" s="122"/>
      <c r="L41" s="122"/>
      <c r="M41" s="122"/>
      <c r="N41" s="122"/>
      <c r="O41" s="122"/>
      <c r="P41" s="122"/>
      <c r="Q41" s="122"/>
      <c r="R41" s="122"/>
      <c r="S41" s="122"/>
      <c r="T41" s="122"/>
      <c r="U41" s="122"/>
      <c r="V41" s="122"/>
      <c r="W41" s="68"/>
    </row>
    <row r="42" spans="2:25" x14ac:dyDescent="0.25">
      <c r="B42" s="122"/>
      <c r="C42" s="122"/>
      <c r="D42" s="122"/>
      <c r="E42" s="122"/>
      <c r="F42" s="122"/>
      <c r="G42" s="122"/>
      <c r="H42" s="122"/>
      <c r="I42" s="122"/>
      <c r="J42" s="122"/>
      <c r="K42" s="122"/>
      <c r="L42" s="122"/>
      <c r="M42" s="122"/>
      <c r="N42" s="122"/>
      <c r="O42" s="122"/>
      <c r="P42" s="122"/>
      <c r="Q42" s="122"/>
      <c r="R42" s="122"/>
      <c r="S42" s="122"/>
      <c r="T42" s="122"/>
      <c r="U42" s="122"/>
      <c r="V42" s="122"/>
      <c r="W42" s="68"/>
    </row>
    <row r="43" spans="2:25" x14ac:dyDescent="0.25">
      <c r="B43" s="122"/>
      <c r="C43" s="122"/>
      <c r="D43" s="122"/>
      <c r="E43" s="122"/>
      <c r="F43" s="122"/>
      <c r="G43" s="122"/>
      <c r="H43" s="122"/>
      <c r="I43" s="122"/>
      <c r="J43" s="122"/>
      <c r="K43" s="122"/>
      <c r="L43" s="122"/>
      <c r="M43" s="122"/>
      <c r="N43" s="122"/>
      <c r="O43" s="122"/>
      <c r="P43" s="122"/>
      <c r="Q43" s="122"/>
      <c r="R43" s="122"/>
      <c r="S43" s="122"/>
      <c r="T43" s="122"/>
      <c r="U43" s="122"/>
      <c r="V43" s="122"/>
      <c r="W43" s="68"/>
    </row>
    <row r="44" spans="2:25" x14ac:dyDescent="0.25">
      <c r="B44" s="122"/>
      <c r="C44" s="122"/>
      <c r="D44" s="122"/>
      <c r="E44" s="122"/>
      <c r="F44" s="123"/>
      <c r="G44" s="122"/>
      <c r="H44" s="122"/>
      <c r="I44" s="122"/>
      <c r="J44" s="122"/>
      <c r="K44" s="122"/>
      <c r="L44" s="122"/>
      <c r="M44" s="122"/>
      <c r="N44" s="122"/>
      <c r="O44" s="122"/>
      <c r="P44" s="122"/>
      <c r="Q44" s="122"/>
      <c r="R44" s="122"/>
      <c r="S44" s="122"/>
      <c r="T44" s="122"/>
      <c r="U44" s="122"/>
      <c r="V44" s="122"/>
      <c r="W44" s="68"/>
    </row>
    <row r="45" spans="2:25" ht="15.75" x14ac:dyDescent="0.25">
      <c r="B45" s="122"/>
      <c r="C45" s="130"/>
      <c r="D45" s="130"/>
      <c r="E45" s="130"/>
      <c r="F45" s="130"/>
      <c r="G45" s="130"/>
      <c r="H45" s="122"/>
      <c r="I45" s="126"/>
      <c r="J45" s="126"/>
      <c r="K45" s="126"/>
      <c r="L45" s="126"/>
      <c r="M45" s="126"/>
      <c r="N45" s="126"/>
      <c r="O45" s="126"/>
      <c r="P45" s="126"/>
      <c r="Q45" s="126"/>
      <c r="R45" s="126"/>
      <c r="S45" s="126"/>
      <c r="T45" s="126"/>
      <c r="U45" s="126"/>
      <c r="V45" s="126"/>
      <c r="W45" s="68"/>
    </row>
    <row r="46" spans="2:25" ht="15.75" x14ac:dyDescent="0.25">
      <c r="B46" s="122"/>
      <c r="C46" s="122"/>
      <c r="D46" s="123"/>
      <c r="E46" s="123"/>
      <c r="F46" s="129"/>
      <c r="G46" s="129"/>
      <c r="H46" s="122"/>
      <c r="I46" s="122"/>
      <c r="J46" s="122"/>
      <c r="K46" s="122"/>
      <c r="L46" s="122"/>
      <c r="M46" s="122"/>
      <c r="N46" s="122"/>
      <c r="O46" s="127"/>
      <c r="P46" s="122"/>
      <c r="Q46" s="122"/>
      <c r="R46" s="122"/>
      <c r="S46" s="122"/>
      <c r="T46" s="122"/>
      <c r="U46" s="122"/>
      <c r="V46" s="122"/>
      <c r="W46" s="68"/>
    </row>
    <row r="47" spans="2:25" ht="15.75" x14ac:dyDescent="0.25">
      <c r="B47" s="122"/>
      <c r="C47" s="122"/>
      <c r="D47" s="123"/>
      <c r="E47" s="123"/>
      <c r="F47" s="129"/>
      <c r="G47" s="129"/>
      <c r="H47" s="122"/>
      <c r="I47" s="122"/>
      <c r="J47" s="122"/>
      <c r="K47" s="122"/>
      <c r="L47" s="122"/>
      <c r="M47" s="122"/>
      <c r="N47" s="122"/>
      <c r="O47" s="127"/>
      <c r="P47" s="122"/>
      <c r="Q47" s="122"/>
      <c r="R47" s="122"/>
      <c r="S47" s="122"/>
      <c r="T47" s="122"/>
      <c r="U47" s="122"/>
      <c r="V47" s="122"/>
      <c r="W47" s="68"/>
    </row>
    <row r="48" spans="2:25" ht="15.75" x14ac:dyDescent="0.25">
      <c r="B48" s="122"/>
      <c r="C48" s="122"/>
      <c r="D48" s="123"/>
      <c r="E48" s="123"/>
      <c r="F48" s="129"/>
      <c r="G48" s="129"/>
      <c r="H48" s="122"/>
      <c r="I48" s="122"/>
      <c r="J48" s="122"/>
      <c r="K48" s="122"/>
      <c r="L48" s="122"/>
      <c r="M48" s="122"/>
      <c r="N48" s="122"/>
      <c r="O48" s="127"/>
      <c r="P48" s="122"/>
      <c r="Q48" s="122"/>
      <c r="R48" s="122"/>
      <c r="S48" s="122"/>
      <c r="T48" s="122"/>
      <c r="U48" s="122"/>
      <c r="V48" s="122"/>
      <c r="W48" s="68"/>
    </row>
    <row r="49" spans="2:23" ht="15.75" x14ac:dyDescent="0.25">
      <c r="B49" s="122"/>
      <c r="C49" s="122"/>
      <c r="D49" s="123"/>
      <c r="E49" s="123"/>
      <c r="F49" s="129"/>
      <c r="G49" s="129"/>
      <c r="H49" s="122"/>
      <c r="I49" s="122"/>
      <c r="J49" s="122"/>
      <c r="K49" s="122"/>
      <c r="L49" s="122"/>
      <c r="M49" s="122"/>
      <c r="N49" s="122"/>
      <c r="O49" s="127"/>
      <c r="P49" s="122"/>
      <c r="Q49" s="122"/>
      <c r="R49" s="122"/>
      <c r="S49" s="122"/>
      <c r="T49" s="122"/>
      <c r="U49" s="122"/>
      <c r="V49" s="122"/>
      <c r="W49" s="68"/>
    </row>
    <row r="50" spans="2:23" ht="15.75" x14ac:dyDescent="0.25">
      <c r="B50" s="122"/>
      <c r="C50" s="122"/>
      <c r="D50" s="123"/>
      <c r="E50" s="123"/>
      <c r="F50" s="129"/>
      <c r="G50" s="129"/>
      <c r="H50" s="122"/>
      <c r="I50" s="122"/>
      <c r="J50" s="122"/>
      <c r="K50" s="122"/>
      <c r="L50" s="122"/>
      <c r="M50" s="122"/>
      <c r="N50" s="122"/>
      <c r="O50" s="127"/>
      <c r="P50" s="122"/>
      <c r="Q50" s="122"/>
      <c r="R50" s="122"/>
      <c r="S50" s="122"/>
      <c r="T50" s="122"/>
      <c r="U50" s="122"/>
      <c r="V50" s="122"/>
      <c r="W50" s="68"/>
    </row>
    <row r="51" spans="2:23" ht="15.75" x14ac:dyDescent="0.25">
      <c r="B51" s="122"/>
      <c r="C51" s="122"/>
      <c r="D51" s="123"/>
      <c r="E51" s="123"/>
      <c r="F51" s="129"/>
      <c r="G51" s="129"/>
      <c r="H51" s="122"/>
      <c r="I51" s="122"/>
      <c r="J51" s="122"/>
      <c r="K51" s="122"/>
      <c r="L51" s="122"/>
      <c r="M51" s="122"/>
      <c r="N51" s="122"/>
      <c r="O51" s="127"/>
      <c r="P51" s="122"/>
      <c r="Q51" s="122"/>
      <c r="R51" s="122"/>
      <c r="S51" s="122"/>
      <c r="T51" s="122"/>
      <c r="U51" s="122"/>
      <c r="V51" s="122"/>
      <c r="W51" s="68"/>
    </row>
    <row r="52" spans="2:23" ht="15.75" x14ac:dyDescent="0.25">
      <c r="B52" s="122"/>
      <c r="C52" s="122"/>
      <c r="D52" s="123"/>
      <c r="E52" s="123"/>
      <c r="F52" s="129"/>
      <c r="G52" s="129"/>
      <c r="H52" s="122"/>
      <c r="I52" s="122"/>
      <c r="J52" s="122"/>
      <c r="K52" s="122"/>
      <c r="L52" s="122"/>
      <c r="M52" s="122"/>
      <c r="N52" s="122"/>
      <c r="O52" s="127"/>
      <c r="P52" s="122"/>
      <c r="Q52" s="122"/>
      <c r="R52" s="122"/>
      <c r="S52" s="122"/>
      <c r="T52" s="122"/>
      <c r="U52" s="122"/>
      <c r="V52" s="122"/>
      <c r="W52" s="68"/>
    </row>
    <row r="53" spans="2:23" ht="15.75" x14ac:dyDescent="0.25">
      <c r="B53" s="122"/>
      <c r="C53" s="122"/>
      <c r="D53" s="123"/>
      <c r="E53" s="123"/>
      <c r="F53" s="129"/>
      <c r="G53" s="129"/>
      <c r="H53" s="122"/>
      <c r="I53" s="122"/>
      <c r="J53" s="122"/>
      <c r="K53" s="122"/>
      <c r="L53" s="122"/>
      <c r="M53" s="122"/>
      <c r="N53" s="122"/>
      <c r="O53" s="127"/>
      <c r="P53" s="122"/>
      <c r="Q53" s="122"/>
      <c r="R53" s="122"/>
      <c r="S53" s="122"/>
      <c r="T53" s="122"/>
      <c r="U53" s="122"/>
      <c r="V53" s="122"/>
      <c r="W53" s="68"/>
    </row>
    <row r="54" spans="2:23" ht="15.75" x14ac:dyDescent="0.25">
      <c r="B54" s="122"/>
      <c r="C54" s="122"/>
      <c r="D54" s="123"/>
      <c r="E54" s="123"/>
      <c r="F54" s="129"/>
      <c r="G54" s="129"/>
      <c r="H54" s="122"/>
      <c r="I54" s="122"/>
      <c r="J54" s="122"/>
      <c r="K54" s="122"/>
      <c r="L54" s="122"/>
      <c r="M54" s="122"/>
      <c r="N54" s="122"/>
      <c r="O54" s="127"/>
      <c r="P54" s="122"/>
      <c r="Q54" s="122"/>
      <c r="R54" s="122"/>
      <c r="S54" s="122"/>
      <c r="T54" s="122"/>
      <c r="U54" s="122"/>
      <c r="V54" s="122"/>
      <c r="W54" s="68"/>
    </row>
    <row r="55" spans="2:23" ht="15.75" x14ac:dyDescent="0.25">
      <c r="B55" s="122"/>
      <c r="C55" s="122"/>
      <c r="D55" s="123"/>
      <c r="E55" s="123"/>
      <c r="F55" s="129"/>
      <c r="G55" s="129"/>
      <c r="H55" s="122"/>
      <c r="I55" s="122"/>
      <c r="J55" s="122"/>
      <c r="K55" s="122"/>
      <c r="L55" s="122"/>
      <c r="M55" s="122"/>
      <c r="N55" s="122"/>
      <c r="O55" s="127"/>
      <c r="P55" s="122"/>
      <c r="Q55" s="122"/>
      <c r="R55" s="122"/>
      <c r="S55" s="122"/>
      <c r="T55" s="122"/>
      <c r="U55" s="122"/>
      <c r="V55" s="122"/>
      <c r="W55" s="68"/>
    </row>
    <row r="56" spans="2:23" ht="15.75" x14ac:dyDescent="0.25">
      <c r="B56" s="122"/>
      <c r="C56" s="122"/>
      <c r="D56" s="123"/>
      <c r="E56" s="123"/>
      <c r="F56" s="129"/>
      <c r="G56" s="129"/>
      <c r="H56" s="122"/>
      <c r="I56" s="122"/>
      <c r="J56" s="122"/>
      <c r="K56" s="122"/>
      <c r="L56" s="122"/>
      <c r="M56" s="122"/>
      <c r="N56" s="122"/>
      <c r="O56" s="127"/>
      <c r="P56" s="122"/>
      <c r="Q56" s="122"/>
      <c r="R56" s="122"/>
      <c r="S56" s="122"/>
      <c r="T56" s="122"/>
      <c r="U56" s="122"/>
      <c r="V56" s="122"/>
      <c r="W56" s="68"/>
    </row>
    <row r="57" spans="2:23" ht="15.75" x14ac:dyDescent="0.25">
      <c r="B57" s="122"/>
      <c r="C57" s="122"/>
      <c r="D57" s="123"/>
      <c r="E57" s="123"/>
      <c r="F57" s="129"/>
      <c r="G57" s="129"/>
      <c r="H57" s="122"/>
      <c r="I57" s="122"/>
      <c r="J57" s="122"/>
      <c r="K57" s="122"/>
      <c r="L57" s="122"/>
      <c r="M57" s="122"/>
      <c r="N57" s="122"/>
      <c r="O57" s="127"/>
      <c r="P57" s="122"/>
      <c r="Q57" s="122"/>
      <c r="R57" s="122"/>
      <c r="S57" s="122"/>
      <c r="T57" s="122"/>
      <c r="U57" s="122"/>
      <c r="V57" s="122"/>
      <c r="W57" s="68"/>
    </row>
    <row r="58" spans="2:23" ht="15.75" x14ac:dyDescent="0.25">
      <c r="B58" s="122"/>
      <c r="C58" s="122"/>
      <c r="D58" s="123"/>
      <c r="E58" s="123"/>
      <c r="F58" s="129"/>
      <c r="G58" s="129"/>
      <c r="H58" s="122"/>
      <c r="I58" s="122"/>
      <c r="J58" s="122"/>
      <c r="K58" s="122"/>
      <c r="L58" s="122"/>
      <c r="M58" s="122"/>
      <c r="N58" s="122"/>
      <c r="O58" s="127"/>
      <c r="P58" s="122"/>
      <c r="Q58" s="122"/>
      <c r="R58" s="122"/>
      <c r="S58" s="122"/>
      <c r="T58" s="122"/>
      <c r="U58" s="122"/>
      <c r="V58" s="122"/>
      <c r="W58" s="68"/>
    </row>
    <row r="59" spans="2:23" x14ac:dyDescent="0.25">
      <c r="B59" s="122"/>
      <c r="C59" s="122"/>
      <c r="D59" s="123"/>
      <c r="E59" s="123"/>
      <c r="F59" s="129"/>
      <c r="G59" s="129"/>
      <c r="H59" s="122"/>
      <c r="I59" s="122"/>
      <c r="J59" s="122"/>
      <c r="K59" s="122"/>
      <c r="L59" s="122"/>
      <c r="M59" s="122"/>
      <c r="N59" s="122"/>
      <c r="O59" s="122"/>
      <c r="P59" s="122"/>
      <c r="Q59" s="122"/>
      <c r="R59" s="122"/>
      <c r="S59" s="122"/>
      <c r="T59" s="122"/>
      <c r="U59" s="122"/>
      <c r="V59" s="122"/>
      <c r="W59" s="68"/>
    </row>
    <row r="60" spans="2:23" x14ac:dyDescent="0.25">
      <c r="B60" s="122"/>
      <c r="C60" s="122"/>
      <c r="D60" s="123"/>
      <c r="E60" s="123"/>
      <c r="F60" s="129"/>
      <c r="G60" s="129"/>
      <c r="H60" s="122"/>
      <c r="I60" s="122"/>
      <c r="J60" s="122"/>
      <c r="K60" s="122"/>
      <c r="L60" s="122"/>
      <c r="M60" s="122"/>
      <c r="N60" s="122"/>
      <c r="O60" s="122"/>
      <c r="P60" s="122"/>
      <c r="Q60" s="122"/>
      <c r="R60" s="122"/>
      <c r="S60" s="122"/>
      <c r="T60" s="122"/>
      <c r="U60" s="122"/>
      <c r="V60" s="122"/>
      <c r="W60" s="68"/>
    </row>
    <row r="61" spans="2:23" x14ac:dyDescent="0.25">
      <c r="B61" s="68"/>
      <c r="C61" s="68"/>
      <c r="D61" s="68"/>
      <c r="E61" s="68"/>
      <c r="F61" s="68"/>
      <c r="G61" s="68"/>
      <c r="H61" s="68"/>
      <c r="I61" s="68"/>
      <c r="J61" s="68"/>
      <c r="K61" s="68"/>
      <c r="L61" s="68"/>
      <c r="M61" s="68"/>
      <c r="N61" s="68"/>
      <c r="O61" s="68"/>
      <c r="P61" s="68"/>
      <c r="Q61" s="68"/>
      <c r="R61" s="68"/>
      <c r="S61" s="68"/>
      <c r="T61" s="68"/>
      <c r="U61" s="68"/>
      <c r="V61" s="68"/>
      <c r="W61" s="68"/>
    </row>
    <row r="62" spans="2:23" x14ac:dyDescent="0.25">
      <c r="B62" s="68"/>
      <c r="C62" s="68"/>
      <c r="D62" s="68"/>
      <c r="E62" s="68"/>
      <c r="F62" s="68"/>
      <c r="G62" s="68"/>
      <c r="H62" s="68"/>
      <c r="I62" s="68"/>
      <c r="J62" s="68"/>
      <c r="K62" s="68"/>
      <c r="L62" s="68"/>
      <c r="M62" s="68"/>
      <c r="N62" s="68"/>
      <c r="O62" s="68"/>
      <c r="P62" s="68"/>
      <c r="Q62" s="68"/>
      <c r="R62" s="68"/>
      <c r="S62" s="68"/>
      <c r="T62" s="68"/>
      <c r="U62" s="68"/>
      <c r="V62" s="68"/>
      <c r="W62" s="68"/>
    </row>
    <row r="63" spans="2:23" x14ac:dyDescent="0.25">
      <c r="H63" s="68"/>
      <c r="I63" s="68"/>
      <c r="J63" s="68"/>
      <c r="K63" s="68"/>
      <c r="L63" s="68"/>
      <c r="M63" s="68"/>
      <c r="N63" s="68"/>
      <c r="O63" s="68"/>
      <c r="P63" s="68"/>
      <c r="Q63" s="68"/>
      <c r="R63" s="68"/>
      <c r="S63" s="68"/>
      <c r="T63" s="68"/>
      <c r="U63" s="68"/>
      <c r="V63" s="68"/>
      <c r="W63" s="68"/>
    </row>
    <row r="64" spans="2:23" x14ac:dyDescent="0.25">
      <c r="H64" s="68"/>
      <c r="I64" s="68"/>
      <c r="J64" s="68"/>
      <c r="K64" s="68"/>
      <c r="L64" s="68"/>
      <c r="M64" s="68"/>
      <c r="N64" s="68"/>
      <c r="O64" s="68"/>
      <c r="P64" s="68"/>
      <c r="Q64" s="68"/>
      <c r="R64" s="68"/>
      <c r="S64" s="68"/>
      <c r="T64" s="68"/>
      <c r="U64" s="68"/>
      <c r="V64" s="68"/>
      <c r="W64" s="68"/>
    </row>
    <row r="65" spans="8:23" x14ac:dyDescent="0.25">
      <c r="H65" s="68"/>
      <c r="I65" s="68"/>
      <c r="J65" s="68"/>
      <c r="K65" s="68"/>
      <c r="L65" s="68"/>
      <c r="M65" s="68"/>
      <c r="N65" s="68"/>
      <c r="O65" s="68"/>
      <c r="P65" s="68"/>
      <c r="Q65" s="68"/>
      <c r="R65" s="68"/>
      <c r="S65" s="68"/>
      <c r="T65" s="68"/>
      <c r="U65" s="68"/>
      <c r="V65" s="68"/>
      <c r="W65" s="68"/>
    </row>
    <row r="66" spans="8:23" x14ac:dyDescent="0.25">
      <c r="H66" s="68"/>
      <c r="I66" s="68"/>
      <c r="J66" s="68"/>
      <c r="K66" s="68"/>
      <c r="L66" s="68"/>
      <c r="M66" s="68"/>
      <c r="N66" s="68"/>
      <c r="O66" s="68"/>
      <c r="P66" s="68"/>
      <c r="Q66" s="68"/>
      <c r="R66" s="68"/>
      <c r="S66" s="68"/>
      <c r="T66" s="68"/>
      <c r="U66" s="68"/>
      <c r="V66" s="68"/>
      <c r="W66" s="68"/>
    </row>
    <row r="67" spans="8:23" x14ac:dyDescent="0.25">
      <c r="H67" s="68"/>
      <c r="I67" s="68"/>
      <c r="J67" s="68"/>
      <c r="K67" s="68"/>
      <c r="L67" s="68"/>
      <c r="M67" s="68"/>
      <c r="N67" s="68"/>
      <c r="O67" s="68"/>
      <c r="P67" s="68"/>
      <c r="Q67" s="68"/>
      <c r="R67" s="68"/>
      <c r="S67" s="68"/>
      <c r="T67" s="68"/>
      <c r="U67" s="68"/>
      <c r="V67" s="68"/>
      <c r="W67" s="68"/>
    </row>
    <row r="68" spans="8:23" x14ac:dyDescent="0.25">
      <c r="H68" s="68"/>
      <c r="I68" s="68"/>
      <c r="J68" s="68"/>
      <c r="K68" s="68"/>
      <c r="L68" s="68"/>
      <c r="M68" s="68"/>
      <c r="N68" s="68"/>
      <c r="O68" s="68"/>
      <c r="P68" s="68"/>
      <c r="Q68" s="68"/>
      <c r="R68" s="68"/>
      <c r="S68" s="68"/>
      <c r="T68" s="68"/>
      <c r="U68" s="68"/>
      <c r="V68" s="68"/>
      <c r="W68" s="68"/>
    </row>
    <row r="69" spans="8:23" x14ac:dyDescent="0.25">
      <c r="H69" s="68"/>
      <c r="I69" s="68"/>
      <c r="J69" s="68"/>
      <c r="K69" s="68"/>
      <c r="L69" s="68"/>
      <c r="M69" s="68"/>
      <c r="N69" s="68"/>
      <c r="O69" s="68"/>
      <c r="P69" s="68"/>
      <c r="Q69" s="68"/>
      <c r="R69" s="68"/>
      <c r="S69" s="68"/>
      <c r="T69" s="68"/>
      <c r="U69" s="68"/>
      <c r="V69" s="68"/>
      <c r="W69" s="68"/>
    </row>
    <row r="70" spans="8:23" x14ac:dyDescent="0.25">
      <c r="H70" s="68"/>
      <c r="I70" s="68"/>
      <c r="J70" s="68"/>
      <c r="K70" s="68"/>
      <c r="L70" s="68"/>
      <c r="M70" s="68"/>
      <c r="N70" s="68"/>
      <c r="O70" s="68"/>
      <c r="P70" s="68"/>
      <c r="Q70" s="68"/>
      <c r="R70" s="68"/>
      <c r="S70" s="68"/>
      <c r="T70" s="68"/>
      <c r="U70" s="68"/>
      <c r="V70" s="68"/>
      <c r="W70" s="68"/>
    </row>
    <row r="71" spans="8:23" x14ac:dyDescent="0.25">
      <c r="H71" s="68"/>
      <c r="I71" s="68"/>
      <c r="J71" s="68"/>
      <c r="K71" s="68"/>
      <c r="L71" s="68"/>
      <c r="M71" s="68"/>
      <c r="N71" s="68"/>
      <c r="O71" s="68"/>
      <c r="P71" s="68"/>
      <c r="Q71" s="68"/>
      <c r="R71" s="68"/>
      <c r="S71" s="68"/>
      <c r="T71" s="68"/>
      <c r="U71" s="68"/>
      <c r="V71" s="68"/>
      <c r="W71" s="68"/>
    </row>
  </sheetData>
  <mergeCells count="1">
    <mergeCell ref="I7:W7"/>
  </mergeCells>
  <phoneticPr fontId="57" type="noConversion"/>
  <pageMargins left="0.7" right="0.7" top="0.75" bottom="0.75" header="0.3" footer="0.3"/>
  <pageSetup paperSize="5" scale="57" orientation="landscape" r:id="rId1"/>
  <headerFooter>
    <oddHeader>&amp;C&amp;A&amp;R&amp;A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Project Alternatives Summary</vt:lpstr>
      <vt:lpstr>Project Alternatives Summar (2)</vt:lpstr>
      <vt:lpstr>Alternative No. 0</vt:lpstr>
      <vt:lpstr>Alternative No. 1</vt:lpstr>
      <vt:lpstr>Alternative No. 2</vt:lpstr>
      <vt:lpstr>Alternative No. 3</vt:lpstr>
      <vt:lpstr>Alternative No. 4</vt:lpstr>
      <vt:lpstr>Job Creation-Sewer</vt:lpstr>
      <vt:lpstr>Job Creation-Lining</vt:lpstr>
      <vt:lpstr>Job Creation-Pump Station</vt:lpstr>
      <vt:lpstr>Job Creation-Treatment Plant</vt:lpstr>
      <vt:lpstr>Carbon-Total Emissions</vt:lpstr>
      <vt:lpstr>Carbon-Scope 1</vt:lpstr>
      <vt:lpstr>Carbon-Scope 2</vt:lpstr>
      <vt:lpstr>Carbon-GHG Background Assumed</vt:lpstr>
      <vt:lpstr>Job Creation Backup ==&gt;</vt:lpstr>
      <vt:lpstr>S weights</vt:lpstr>
      <vt:lpstr>S lining weights</vt:lpstr>
      <vt:lpstr>PS weights</vt:lpstr>
      <vt:lpstr>PL weights</vt:lpstr>
      <vt:lpstr>Allen Co. Labor Wages</vt:lpstr>
      <vt:lpstr>'Alternative No. 0'!Print_Area</vt:lpstr>
      <vt:lpstr>'Alternative No. 1'!Print_Area</vt:lpstr>
      <vt:lpstr>'Alternative No. 2'!Print_Area</vt:lpstr>
      <vt:lpstr>'Alternative No. 3'!Print_Area</vt:lpstr>
      <vt:lpstr>'Alternative No. 4'!Print_Area</vt:lpstr>
      <vt:lpstr>'Carbon-GHG Background Assumed'!Print_Area</vt:lpstr>
      <vt:lpstr>'Carbon-Scope 1'!Print_Area</vt:lpstr>
      <vt:lpstr>'Carbon-Scope 2'!Print_Area</vt:lpstr>
      <vt:lpstr>'Carbon-Total Emissions'!Print_Area</vt:lpstr>
      <vt:lpstr>'Project Alternatives Summar (2)'!Print_Area</vt:lpstr>
      <vt:lpstr>'Project Alternatives Summary'!Print_Area</vt:lpstr>
      <vt:lpstr>'Alternative No. 0'!Print_Titles</vt:lpstr>
      <vt:lpstr>'Alternative No. 1'!Print_Titles</vt:lpstr>
      <vt:lpstr>'Alternative No. 2'!Print_Titles</vt:lpstr>
      <vt:lpstr>'Alternative No. 3'!Print_Titles</vt:lpstr>
      <vt:lpstr>'Alternative No. 4'!Print_Titles</vt:lpstr>
    </vt:vector>
  </TitlesOfParts>
  <Manager>Justin.Brugger@cityoffortwayne.org</Manager>
  <Company>City of Fort Wayne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Brugger</dc:creator>
  <cp:lastModifiedBy>Justin Brugger</cp:lastModifiedBy>
  <cp:lastPrinted>2011-11-28T22:55:21Z</cp:lastPrinted>
  <dcterms:created xsi:type="dcterms:W3CDTF">2010-07-22T16:41:15Z</dcterms:created>
  <dcterms:modified xsi:type="dcterms:W3CDTF">2011-11-28T22:55:52Z</dcterms:modified>
</cp:coreProperties>
</file>